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2.xml" ContentType="application/vnd.ms-office.chartstyle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olors2.xml" ContentType="application/vnd.ms-office.chartcolorstyle+xml"/>
  <Override PartName="/xl/charts/style3.xml" ContentType="application/vnd.ms-office.chartstyle+xml"/>
  <Override PartName="/xl/charts/style1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Weekly Plan" sheetId="2" state="visible" r:id="rId4"/>
    <sheet name="Daily Log" sheetId="3" state="visible" r:id="rId5"/>
    <sheet name="Progression Rules" sheetId="4" state="visible" r:id="rId6"/>
    <sheet name="Missed-Session Logic" sheetId="5" state="visible" r:id="rId7"/>
    <sheet name="Dashboard" sheetId="6" state="visible" r:id="rId8"/>
    <sheet name="Load Targets" sheetId="7" state="visible" r:id="rId9"/>
  </sheets>
  <definedNames>
    <definedName function="false" hidden="true" localSheetId="2" name="_xlnm._FilterDatabase" vbProcedure="false">'Daily Log'!$B$4:$R$88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<sst xmlns="http://schemas.openxmlformats.org/spreadsheetml/2006/main" count="474" uniqueCount="257">
  <si>
    <t xml:space="preserve">GRYT 12-Week Durability + Event Prep Plan</t>
  </si>
  <si>
    <t xml:space="preserve">Built for Nick Merich · Trail + road · Farmer walks, carries, pull-ups, 50–100 lb loading</t>
  </si>
  <si>
    <t xml:space="preserve">HOW TO USE THIS ON YOUR PHONE</t>
  </si>
  <si>
    <t xml:space="preserve">1. Open in Excel or Google Sheets iOS app</t>
  </si>
  <si>
    <t xml:space="preserve">Frozen headers + narrow first column keep the plan readable on a 6" screen.</t>
  </si>
  <si>
    <t xml:space="preserve">2. Log every session in Daily Log</t>
  </si>
  <si>
    <t xml:space="preserve">Only 3 columns you touch: Completed?, Load (lb), Notes. Everything else auto-calculates.</t>
  </si>
  <si>
    <t xml:space="preserve">3. Check Dashboard on Sunday night</t>
  </si>
  <si>
    <t xml:space="preserve">Charts flag undertraining (&gt;15% drop) and overreaching (&gt;10% jump w/ high RPE).</t>
  </si>
  <si>
    <t xml:space="preserve">4. Follow rules — don't freelance</t>
  </si>
  <si>
    <t xml:space="preserve">Progression Rules + Missed-Session Logic are the guardrails. Trust them for 12 weeks.</t>
  </si>
  <si>
    <t xml:space="preserve">THE BLOCK STRUCTURE</t>
  </si>
  <si>
    <t xml:space="preserve">Weeks 1–3 · BASE</t>
  </si>
  <si>
    <t xml:space="preserve">Build load tolerance. 50–60 lb carries, easy run mileage, pull-up volume.</t>
  </si>
  <si>
    <t xml:space="preserve">Week 4 · DELOAD</t>
  </si>
  <si>
    <t xml:space="preserve">-40% volume. Recovery, mobility, one quality run.</t>
  </si>
  <si>
    <t xml:space="preserve">Weeks 5–7 · BUILD</t>
  </si>
  <si>
    <t xml:space="preserve">70–85 lb carries, run mileage +10%/wk, weighted pull-ups begin.</t>
  </si>
  <si>
    <t xml:space="preserve">Week 8 · DELOAD</t>
  </si>
  <si>
    <t xml:space="preserve">-40% volume. Test day: max farmer walk, max pull-ups.</t>
  </si>
  <si>
    <t xml:space="preserve">Weeks 9–11 · PEAK</t>
  </si>
  <si>
    <t xml:space="preserve">90–100 lb event-specific loading. Race-pace runs. Full send.</t>
  </si>
  <si>
    <t xml:space="preserve">Week 12 · TAPER / EVENT</t>
  </si>
  <si>
    <t xml:space="preserve">-60% volume week 1, event day at end. Sharpness only.</t>
  </si>
  <si>
    <t xml:space="preserve">THE FIVE MODALITIES</t>
  </si>
  <si>
    <t xml:space="preserve">Farmer Walks</t>
  </si>
  <si>
    <t xml:space="preserve">Distance × load. Grip, posture, and full-body durability under load.</t>
  </si>
  <si>
    <t xml:space="preserve">Carries (front-rack, sandbag, zercher)</t>
  </si>
  <si>
    <t xml:space="preserve">Awkward-object strength. Trains the odd-angle resilience that event day demands.</t>
  </si>
  <si>
    <t xml:space="preserve">Pull-Up Work</t>
  </si>
  <si>
    <t xml:space="preserve">Bodyweight → weighted. Vertical pull strength and shoulder durability.</t>
  </si>
  <si>
    <t xml:space="preserve">Run Mileage</t>
  </si>
  <si>
    <t xml:space="preserve">Weekly volume with 1 quality session (tempo or intervals). Trail + road mix.</t>
  </si>
  <si>
    <t xml:space="preserve">50–100 lb Loading</t>
  </si>
  <si>
    <t xml:space="preserve">Ruck, sandbag, deadlift, or squat carries. Progressive load ladder.</t>
  </si>
  <si>
    <t xml:space="preserve">TABS IN THIS WORKBOOK</t>
  </si>
  <si>
    <t xml:space="preserve">Weekly Plan</t>
  </si>
  <si>
    <t xml:space="preserve">The 12-week roadmap. Volume + intensity + key sessions per week.</t>
  </si>
  <si>
    <t xml:space="preserve">Daily Log</t>
  </si>
  <si>
    <t xml:space="preserve">The 84-day log. Fill Completed?, Load, RPE, Notes. Everything else is auto.</t>
  </si>
  <si>
    <t xml:space="preserve">Progression Rules</t>
  </si>
  <si>
    <t xml:space="preserve">When to add weight, distance, reps. The decision tree.</t>
  </si>
  <si>
    <t xml:space="preserve">Missed-Session Logic</t>
  </si>
  <si>
    <t xml:space="preserve">What to do when life happens. Not every miss is equal.</t>
  </si>
  <si>
    <t xml:space="preserve">Dashboard</t>
  </si>
  <si>
    <t xml:space="preserve">Charts + KPIs. Weekly load, run mileage trend, adherence, warning flags.</t>
  </si>
  <si>
    <t xml:space="preserve">Load Targets</t>
  </si>
  <si>
    <t xml:space="preserve">Reference table: what load for what week.</t>
  </si>
  <si>
    <t xml:space="preserve">The 12-week roadmap. Set the three blue inputs once; everything else updates.</t>
  </si>
  <si>
    <t xml:space="preserve">Plan start date (a Monday)</t>
  </si>
  <si>
    <t xml:space="preserve">Base weekly run miles (Week 1)</t>
  </si>
  <si>
    <t xml:space="preserve">Easy pace (min per mile)</t>
  </si>
  <si>
    <t xml:space="preserve">Week</t>
  </si>
  <si>
    <t xml:space="preserve">Block</t>
  </si>
  <si>
    <t xml:space="preserve">Week starts</t>
  </si>
  <si>
    <t xml:space="preserve">Run miles target</t>
  </si>
  <si>
    <t xml:space="preserve">Quality run</t>
  </si>
  <si>
    <t xml:space="preserve">Farmer walk (lb/hand)</t>
  </si>
  <si>
    <t xml:space="preserve">Carry (lb)</t>
  </si>
  <si>
    <t xml:space="preserve">Pull-ups</t>
  </si>
  <si>
    <t xml:space="preserve">Key session</t>
  </si>
  <si>
    <t xml:space="preserve">Volume note</t>
  </si>
  <si>
    <t xml:space="preserve">Base</t>
  </si>
  <si>
    <t xml:space="preserve">Tempo 15 min</t>
  </si>
  <si>
    <t xml:space="preserve">Long trail run + farmer walks</t>
  </si>
  <si>
    <t xml:space="preserve">Tempo 20 min</t>
  </si>
  <si>
    <t xml:space="preserve">+5%</t>
  </si>
  <si>
    <t xml:space="preserve">Tempo 25 min</t>
  </si>
  <si>
    <t xml:space="preserve">Long run + 6 x 40 m farmer walks</t>
  </si>
  <si>
    <t xml:space="preserve">Deload</t>
  </si>
  <si>
    <t xml:space="preserve">Easy strides 6 x 20 s</t>
  </si>
  <si>
    <t xml:space="preserve">Mobility + one quality run</t>
  </si>
  <si>
    <t xml:space="preserve">-40% (deload)</t>
  </si>
  <si>
    <t xml:space="preserve">Build</t>
  </si>
  <si>
    <t xml:space="preserve">Intervals 5 x 3 min</t>
  </si>
  <si>
    <t xml:space="preserve">First weighted pull-ups</t>
  </si>
  <si>
    <t xml:space="preserve">+10%</t>
  </si>
  <si>
    <t xml:space="preserve">Intervals 6 x 3 min</t>
  </si>
  <si>
    <t xml:space="preserve">Heavier carries, mileage +10%</t>
  </si>
  <si>
    <t xml:space="preserve">Intervals 5 x 4 min</t>
  </si>
  <si>
    <t xml:space="preserve">85 lb carries</t>
  </si>
  <si>
    <t xml:space="preserve">Deload / Test</t>
  </si>
  <si>
    <t xml:space="preserve">TEST DAY: max farmer walk + max pull-ups</t>
  </si>
  <si>
    <t xml:space="preserve">Peak</t>
  </si>
  <si>
    <t xml:space="preserve">Race pace 3 x 8 min</t>
  </si>
  <si>
    <t xml:space="preserve">90 lb event loading</t>
  </si>
  <si>
    <t xml:space="preserve">Hold peak</t>
  </si>
  <si>
    <t xml:space="preserve">Race pace 3 x 10 min</t>
  </si>
  <si>
    <t xml:space="preserve">95 lb event loading</t>
  </si>
  <si>
    <t xml:space="preserve">Race pace 2 x 15 min</t>
  </si>
  <si>
    <t xml:space="preserve">100 lb event loading</t>
  </si>
  <si>
    <t xml:space="preserve">Taper / Event</t>
  </si>
  <si>
    <t xml:space="preserve">Sharpener 4 x 1 min</t>
  </si>
  <si>
    <t xml:space="preserve">EVENT DAY (Saturday)</t>
  </si>
  <si>
    <t xml:space="preserve">-60% (taper)</t>
  </si>
  <si>
    <t xml:space="preserve">Weekly rhythm: Mon Strength A (farmer walks + pull-ups) · Tue Easy run · Wed Strength B (carries + 50-100 lb loading) · Thu Quality run · Fri Rest / mobility · Sat Long run (GRYT Saturday) · Sun Easy ruck or rest, then check the Dashboard.</t>
  </si>
  <si>
    <t xml:space="preserve">Fill the blue columns: Completed? (Y/N), Load (lb), RPE (1-10), Notes. Everything else calculates.</t>
  </si>
  <si>
    <t xml:space="preserve">Day</t>
  </si>
  <si>
    <t xml:space="preserve">Date</t>
  </si>
  <si>
    <t xml:space="preserve">Session</t>
  </si>
  <si>
    <t xml:space="preserve">Completed?</t>
  </si>
  <si>
    <t xml:space="preserve">Load (lb)</t>
  </si>
  <si>
    <t xml:space="preserve">RPE</t>
  </si>
  <si>
    <t xml:space="preserve">Notes</t>
  </si>
  <si>
    <t xml:space="preserve">Plan detail</t>
  </si>
  <si>
    <t xml:space="preserve">Planned miles</t>
  </si>
  <si>
    <t xml:space="preserve">Target load (lb)</t>
  </si>
  <si>
    <t xml:space="preserve">Target RPE</t>
  </si>
  <si>
    <t xml:space="preserve">Planned min</t>
  </si>
  <si>
    <t xml:space="preserve">Miles done</t>
  </si>
  <si>
    <t xml:space="preserve">Planned load</t>
  </si>
  <si>
    <t xml:space="preserve">Actual load</t>
  </si>
  <si>
    <t xml:space="preserve">Load vs target</t>
  </si>
  <si>
    <t xml:space="preserve">Strength A</t>
  </si>
  <si>
    <t xml:space="preserve">Farmer walks + pull-ups (see Load Targets)</t>
  </si>
  <si>
    <t xml:space="preserve">Easy run</t>
  </si>
  <si>
    <t xml:space="preserve">Conversational pace. Road or trail.</t>
  </si>
  <si>
    <t xml:space="preserve">Strength B</t>
  </si>
  <si>
    <t xml:space="preserve">Front-rack / sandbag / zercher carries + 50-100 lb loading</t>
  </si>
  <si>
    <t xml:space="preserve">Rest / mobility</t>
  </si>
  <si>
    <t xml:space="preserve">20 min mobility: hips, ankles, T-spine</t>
  </si>
  <si>
    <t xml:space="preserve">Long run</t>
  </si>
  <si>
    <t xml:space="preserve">Trail if safe. GRYT Saturday crew.</t>
  </si>
  <si>
    <t xml:space="preserve">Easy ruck or rest</t>
  </si>
  <si>
    <t xml:space="preserve">30 min ruck at half your carry load, then check the Dashboard</t>
  </si>
  <si>
    <t xml:space="preserve">Strength B (light)</t>
  </si>
  <si>
    <t xml:space="preserve">Carries at reduced volume + mobility</t>
  </si>
  <si>
    <t xml:space="preserve">TEST DAY</t>
  </si>
  <si>
    <t xml:space="preserve">Max farmer walk distance at Week 7 load + max strict pull-ups</t>
  </si>
  <si>
    <t xml:space="preserve">EVENT DAY</t>
  </si>
  <si>
    <t xml:space="preserve">Go do the hard thing.</t>
  </si>
  <si>
    <t xml:space="preserve">Rest</t>
  </si>
  <si>
    <t xml:space="preserve">Recover and celebrate.</t>
  </si>
  <si>
    <t xml:space="preserve">Planned load = planned minutes x target RPE. Actual load = planned minutes x your RPE (target RPE if left blank), only when Completed? = Y. Run minutes use your easy pace from Weekly Plan.</t>
  </si>
  <si>
    <t xml:space="preserve">The decision tree. Check after every strength session and every Sunday.</t>
  </si>
  <si>
    <t xml:space="preserve">Modality</t>
  </si>
  <si>
    <t xml:space="preserve">If this happened</t>
  </si>
  <si>
    <t xml:space="preserve">Then do this next time</t>
  </si>
  <si>
    <t xml:space="preserve">Farmer walks</t>
  </si>
  <si>
    <t xml:space="preserve">All sets done at target load, RPE 7 or lower, posture stayed tall</t>
  </si>
  <si>
    <t xml:space="preserve">Follow next week's Load Targets. If ahead of plan, add 5 lb per hand.</t>
  </si>
  <si>
    <t xml:space="preserve">All sets done but RPE 8-9</t>
  </si>
  <si>
    <t xml:space="preserve">Repeat the same load next session.</t>
  </si>
  <si>
    <t xml:space="preserve">Grip failed, posture broke, or RPE 10</t>
  </si>
  <si>
    <t xml:space="preserve">Drop 10% and rebuild over two sessions. Distance before load.</t>
  </si>
  <si>
    <t xml:space="preserve">Carries</t>
  </si>
  <si>
    <t xml:space="preserve">All sets done with clean breathing and an upright torso</t>
  </si>
  <si>
    <t xml:space="preserve">Add 5-10 lb or one set, never both.</t>
  </si>
  <si>
    <t xml:space="preserve">Lower back took over or you had to drop the load</t>
  </si>
  <si>
    <t xml:space="preserve">Hold load, shorten distance by 25%, own the position.</t>
  </si>
  <si>
    <t xml:space="preserve">Hit total reps at RPE 7 or lower (bodyweight phase)</t>
  </si>
  <si>
    <t xml:space="preserve">Add 1 rep per set next session.</t>
  </si>
  <si>
    <t xml:space="preserve">Hit total reps at RPE 7 or lower (weighted phase)</t>
  </si>
  <si>
    <t xml:space="preserve">Add 2.5-5 lb.</t>
  </si>
  <si>
    <t xml:space="preserve">Missed reps or shoulder discomfort</t>
  </si>
  <si>
    <t xml:space="preserve">Repeat the session. Use bands or negatives to finish the volume.</t>
  </si>
  <si>
    <t xml:space="preserve">Run mileage</t>
  </si>
  <si>
    <t xml:space="preserve">Week completed, easy runs felt conversational</t>
  </si>
  <si>
    <t xml:space="preserve">Follow the Weekly Plan. Never add more than 10% in a week.</t>
  </si>
  <si>
    <t xml:space="preserve">Pain that changes how you run</t>
  </si>
  <si>
    <t xml:space="preserve">Stop the run. No progression until it's gone. Swap for walking or rest.</t>
  </si>
  <si>
    <t xml:space="preserve">Long run is creeping past half your weekly miles</t>
  </si>
  <si>
    <t xml:space="preserve">Cap the long run at about 45% of the week.</t>
  </si>
  <si>
    <t xml:space="preserve">50-100 lb loading</t>
  </si>
  <si>
    <t xml:space="preserve">Load felt smooth, RPE 7 or lower</t>
  </si>
  <si>
    <t xml:space="preserve">Climb to the next rung on the Load Targets ladder.</t>
  </si>
  <si>
    <t xml:space="preserve">RPE 9 or higher at target load</t>
  </si>
  <si>
    <t xml:space="preserve">Stay on the current rung for another week.</t>
  </si>
  <si>
    <t xml:space="preserve">All</t>
  </si>
  <si>
    <t xml:space="preserve">Deload week</t>
  </si>
  <si>
    <t xml:space="preserve">No progression. Hit the reduced numbers and recover.</t>
  </si>
  <si>
    <t xml:space="preserve">Dashboard flags OVERREACHING</t>
  </si>
  <si>
    <t xml:space="preserve">Hold all loads and miles next week. Do not add anything.</t>
  </si>
  <si>
    <t xml:space="preserve">Dashboard flags UNDERTRAINING</t>
  </si>
  <si>
    <t xml:space="preserve">Check Missed-Session Logic. Do not double up to catch up.</t>
  </si>
  <si>
    <t xml:space="preserve">Feeling great and want to add more</t>
  </si>
  <si>
    <t xml:space="preserve">Change only one variable at a time: load, distance, or reps.</t>
  </si>
  <si>
    <t xml:space="preserve">Life happens. Not every miss is equal. Never double up to catch up.</t>
  </si>
  <si>
    <t xml:space="preserve">What you missed</t>
  </si>
  <si>
    <t xml:space="preserve">Priority</t>
  </si>
  <si>
    <t xml:space="preserve">What to do</t>
  </si>
  <si>
    <t xml:space="preserve">One easy run</t>
  </si>
  <si>
    <t xml:space="preserve">Low</t>
  </si>
  <si>
    <t xml:space="preserve">Skip it. Don't make it up.</t>
  </si>
  <si>
    <t xml:space="preserve">Medium</t>
  </si>
  <si>
    <t xml:space="preserve">Move it to the next day if it's at least 48 hours before the long run. Otherwise skip it.</t>
  </si>
  <si>
    <t xml:space="preserve">High</t>
  </si>
  <si>
    <t xml:space="preserve">Do it Sunday at about 75% of the planned distance. If Sunday doesn't work, skip it.</t>
  </si>
  <si>
    <t xml:space="preserve">Strength A or B</t>
  </si>
  <si>
    <t xml:space="preserve">Shift it one day later. Never stack two heavy strength days back to back.</t>
  </si>
  <si>
    <t xml:space="preserve">Both strength days in one week</t>
  </si>
  <si>
    <t xml:space="preserve">Repeat that week's loads next week instead of progressing.</t>
  </si>
  <si>
    <t xml:space="preserve">Mobility or Sunday ruck</t>
  </si>
  <si>
    <t xml:space="preserve">Skip it. Add 10 minutes of mobility on your next easy day if you can.</t>
  </si>
  <si>
    <t xml:space="preserve">Test day (Week 8)</t>
  </si>
  <si>
    <t xml:space="preserve">Do it at your next strength session. Test numbers guide the Peak block.</t>
  </si>
  <si>
    <t xml:space="preserve">3-6 days in a row</t>
  </si>
  <si>
    <t xml:space="preserve">Repeat the last week you fully completed, then continue the plan.</t>
  </si>
  <si>
    <t xml:space="preserve">7 or more days</t>
  </si>
  <si>
    <t xml:space="preserve">Go back one week and resume at 80% of your loads and miles.</t>
  </si>
  <si>
    <t xml:space="preserve">Sick days</t>
  </si>
  <si>
    <t xml:space="preserve">Rest until you feel normal, then resume at last week's plan. Check with a doctor if you're unsure.</t>
  </si>
  <si>
    <t xml:space="preserve">A deload week</t>
  </si>
  <si>
    <t xml:space="preserve">Do not skip</t>
  </si>
  <si>
    <t xml:space="preserve">Deloads are where the work sticks. Take it even if you feel great.</t>
  </si>
  <si>
    <t xml:space="preserve">A taper session (Week 12)</t>
  </si>
  <si>
    <t xml:space="preserve">Don't make it up. Fresh beats fit on event day.</t>
  </si>
  <si>
    <t xml:space="preserve">Check Sunday night. Flags: UNDERTRAINING = actual load more than 15% below plan. OVERREACHING = actual load more than 10% above plan with average RPE 8+.</t>
  </si>
  <si>
    <t xml:space="preserve">Current week</t>
  </si>
  <si>
    <t xml:space="preserve">Overall adherence</t>
  </si>
  <si>
    <t xml:space="preserve">Run miles done</t>
  </si>
  <si>
    <t xml:space="preserve">Weeks flagged</t>
  </si>
  <si>
    <t xml:space="preserve">Sessions planned</t>
  </si>
  <si>
    <t xml:space="preserve">Sessions done</t>
  </si>
  <si>
    <t xml:space="preserve">Adherence</t>
  </si>
  <si>
    <t xml:space="preserve">Miles planned</t>
  </si>
  <si>
    <t xml:space="preserve">Avg RPE</t>
  </si>
  <si>
    <t xml:space="preserve">Load vs plan</t>
  </si>
  <si>
    <t xml:space="preserve">Flag</t>
  </si>
  <si>
    <t xml:space="preserve">Nick's load ladder plus your scaled version. Change C4 to scale every load in the workbook (e.g. 60% if you're newer to lifting).</t>
  </si>
  <si>
    <t xml:space="preserve">Your load scale (% of Nick's loads)</t>
  </si>
  <si>
    <t xml:space="preserve">Farmer walk: Nick (lb/hand)</t>
  </si>
  <si>
    <t xml:space="preserve">Farmer walk: yours (lb/hand)</t>
  </si>
  <si>
    <t xml:space="preserve">Farmer walk sets x distance</t>
  </si>
  <si>
    <t xml:space="preserve">Carry: Nick (lb)</t>
  </si>
  <si>
    <t xml:space="preserve">Carry: yours (lb)</t>
  </si>
  <si>
    <t xml:space="preserve">Carry sets x distance</t>
  </si>
  <si>
    <t xml:space="preserve">Pull-up added load: Nick (lb)</t>
  </si>
  <si>
    <t xml:space="preserve">Pull-up added load: yours (lb)</t>
  </si>
  <si>
    <t xml:space="preserve">Pull-up total reps</t>
  </si>
  <si>
    <t xml:space="preserve">4 x 40 m</t>
  </si>
  <si>
    <t xml:space="preserve">4 x 30 m</t>
  </si>
  <si>
    <t xml:space="preserve">30</t>
  </si>
  <si>
    <t xml:space="preserve">Learn posture under load. Bodyweight pull-up volume.</t>
  </si>
  <si>
    <t xml:space="preserve">5 x 40 m</t>
  </si>
  <si>
    <t xml:space="preserve">5 x 30 m</t>
  </si>
  <si>
    <t xml:space="preserve">40</t>
  </si>
  <si>
    <t xml:space="preserve">6 x 40 m</t>
  </si>
  <si>
    <t xml:space="preserve">6 x 30 m</t>
  </si>
  <si>
    <t xml:space="preserve">50</t>
  </si>
  <si>
    <t xml:space="preserve">3 x 40 m</t>
  </si>
  <si>
    <t xml:space="preserve">3 x 30 m</t>
  </si>
  <si>
    <t xml:space="preserve">25</t>
  </si>
  <si>
    <t xml:space="preserve">-40% volume. Mobility focus.</t>
  </si>
  <si>
    <t xml:space="preserve">Weighted pull-ups begin.</t>
  </si>
  <si>
    <t xml:space="preserve">35</t>
  </si>
  <si>
    <t xml:space="preserve">Test: max strict reps</t>
  </si>
  <si>
    <t xml:space="preserve">Test day Monday: max farmer walk distance at Week 7 load, max pull-ups.</t>
  </si>
  <si>
    <t xml:space="preserve">4 x 50 m</t>
  </si>
  <si>
    <t xml:space="preserve">Event-specific loading.</t>
  </si>
  <si>
    <t xml:space="preserve">3 x 60 m</t>
  </si>
  <si>
    <t xml:space="preserve">Heaviest week. Full send.</t>
  </si>
  <si>
    <t xml:space="preserve">2 x 40 m</t>
  </si>
  <si>
    <t xml:space="preserve">2 x 30 m</t>
  </si>
  <si>
    <t xml:space="preserve">15</t>
  </si>
  <si>
    <t xml:space="preserve">-60% volume. Sharpness only. Event day Saturday.</t>
  </si>
  <si>
    <t xml:space="preserve">Farmer walk load is per hand. Carry load is the total implement (sandbag, front-rack, or zercher). Can't do a pull-up yet? Use band-assisted reps or slow negatives for the same total reps.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</si>
</sst>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0.0"/>
    <numFmt numFmtId="167" formatCode="mmm\ d"/>
    <numFmt numFmtId="168" formatCode="ddd\ mmm\ d"/>
    <numFmt numFmtId="169" formatCode="#,##0"/>
    <numFmt numFmtId="170" formatCode="0%"/>
    <numFmt numFmtId="171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1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sz val="10"/>
      <color rgb="FF111111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4C3E6"/>
        <bgColor rgb="FFBBBBBB"/>
      </patternFill>
    </fill>
    <fill>
      <patternFill patternType="solid">
        <fgColor rgb="FFDCEFF9"/>
        <bgColor rgb="FFD4EDDA"/>
      </patternFill>
    </fill>
    <fill>
      <patternFill patternType="solid">
        <fgColor rgb="FFEFEBE6"/>
        <bgColor rgb="FFDCEFF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/>
      <bottom style="medium">
        <color rgb="FF84C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84C3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DCEFF9"/>
          <bgColor rgb="FF000000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</dxfs>
  <colors>
    <indexedColors>
      <rgbColor rgb="FF000000"/>
      <rgbColor rgb="FFEFE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78787"/>
      <rgbColor rgb="FF9999FF"/>
      <rgbColor rgb="FFBE4B48"/>
      <rgbColor rgb="FFFFFFCC"/>
      <rgbColor rgb="FFDCEF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84C3E6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Weekly load: planned vs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Dashboard!I9</c:f>
              <c:strCache>
                <c:ptCount val="1"/>
                <c:pt idx="0">
                  <c:v>Planned load</c:v>
                </c:pt>
              </c:strCache>
            </c:strRef>
          </c:tx>
          <c:spPr>
            <a:solidFill>
              <a:srgbClr val="BBBBBB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Dashboard!$B$10:$B$21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Dashboard!$I$10:$I$21</c:f>
              <c:numCache>
                <c:formatCode>#,##0</c:formatCode>
                <c:ptCount val="12"/>
                <c:pt idx="0">
                  <c:v>1576</c:v>
                </c:pt>
                <c:pt idx="1">
                  <c:v>1606</c:v>
                </c:pt>
                <c:pt idx="2">
                  <c:v>1647</c:v>
                </c:pt>
                <c:pt idx="3">
                  <c:v>1170</c:v>
                </c:pt>
                <c:pt idx="4">
                  <c:v>1735</c:v>
                </c:pt>
                <c:pt idx="5">
                  <c:v>1830</c:v>
                </c:pt>
                <c:pt idx="6">
                  <c:v>1934</c:v>
                </c:pt>
                <c:pt idx="7">
                  <c:v>1426</c:v>
                </c:pt>
                <c:pt idx="8">
                  <c:v>2024</c:v>
                </c:pt>
                <c:pt idx="9">
                  <c:v>2024</c:v>
                </c:pt>
                <c:pt idx="10">
                  <c:v>2024</c:v>
                </c:pt>
                <c:pt idx="11">
                  <c:v>1148</c:v>
                </c:pt>
              </c:numCache>
            </c:numRef>
          </c:val>
        </c:ser>
        <c:ser>
          <c:idx val="1"/>
          <c:order val="1"/>
          <c:tx>
            <c:strRef>
              <c:f>Dashboard!J9</c:f>
              <c:strCache>
                <c:ptCount val="1"/>
                <c:pt idx="0">
                  <c:v>Actual load</c:v>
                </c:pt>
              </c:strCache>
            </c:strRef>
          </c:tx>
          <c:spPr>
            <a:solidFill>
              <a:srgbClr val="84C3E6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Dashboard!$B$10:$B$21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Dashboard!$J$10:$J$21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21178271"/>
        <c:axId val="71402264"/>
      </c:barChart>
      <c:catAx>
        <c:axId val="211782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Week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402264"/>
        <c:crosses val="autoZero"/>
        <c:auto val="1"/>
        <c:lblAlgn val="ctr"/>
        <c:lblOffset val="100"/>
        <c:noMultiLvlLbl val="0"/>
      </c:catAx>
      <c:valAx>
        <c:axId val="714022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Load (min x RPE)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17827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Run mileage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Dashboard!G9</c:f>
              <c:strCache>
                <c:ptCount val="1"/>
                <c:pt idx="0">
                  <c:v>Miles planned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Dashboard!$B$10:$B$21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Dashboard!$G$10:$G$21</c:f>
              <c:numCache>
                <c:formatCode>0.0</c:formatCode>
                <c:ptCount val="12"/>
                <c:pt idx="0">
                  <c:v>15.1</c:v>
                </c:pt>
                <c:pt idx="1">
                  <c:v>15.7</c:v>
                </c:pt>
                <c:pt idx="2">
                  <c:v>16.5</c:v>
                </c:pt>
                <c:pt idx="3">
                  <c:v>10</c:v>
                </c:pt>
                <c:pt idx="4">
                  <c:v>18.2</c:v>
                </c:pt>
                <c:pt idx="5">
                  <c:v>20</c:v>
                </c:pt>
                <c:pt idx="6">
                  <c:v>22</c:v>
                </c:pt>
                <c:pt idx="7">
                  <c:v>13.2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8.8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Dashboard!H9</c:f>
              <c:strCache>
                <c:ptCount val="1"/>
                <c:pt idx="0">
                  <c:v>Miles done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Dashboard!$B$10:$B$21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Dashboard!$H$10:$H$21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1836777"/>
        <c:axId val="31063054"/>
      </c:lineChart>
      <c:catAx>
        <c:axId val="2183677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Week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063054"/>
        <c:crosses val="autoZero"/>
        <c:auto val="1"/>
        <c:lblAlgn val="ctr"/>
        <c:lblOffset val="100"/>
        <c:noMultiLvlLbl val="0"/>
      </c:catAx>
      <c:valAx>
        <c:axId val="310630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Miles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83677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Adherence by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Dashboard!F9</c:f>
              <c:strCache>
                <c:ptCount val="1"/>
                <c:pt idx="0">
                  <c:v>Adherence</c:v>
                </c:pt>
              </c:strCache>
            </c:strRef>
          </c:tx>
          <c:spPr>
            <a:solidFill>
              <a:srgbClr val="84C3E6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Dashboard!$B$10:$B$21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Dashboard!$F$10:$F$21</c:f>
              <c:numCache>
                <c:formatCode>General</c:formatCode>
                <c:ptCount val="12"/>
              </c:numCache>
            </c:numRef>
          </c:val>
        </c:ser>
        <c:gapWidth val="150"/>
        <c:overlap val="0"/>
        <c:axId val="20283855"/>
        <c:axId val="9998751"/>
      </c:barChart>
      <c:catAx>
        <c:axId val="2028385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Week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998751"/>
        <c:crosses val="autoZero"/>
        <c:auto val="1"/>
        <c:lblAlgn val="ctr"/>
        <c:lblOffset val="100"/>
        <c:noMultiLvlLbl val="0"/>
      </c:catAx>
      <c:valAx>
        <c:axId val="99987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Adherence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28385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10</xdr:col>
      <xdr:colOff>277200</xdr:colOff>
      <xdr:row>38</xdr:row>
      <xdr:rowOff>21960</xdr:rowOff>
    </xdr:to>
    <xdr:graphicFrame>
      <xdr:nvGraphicFramePr>
        <xdr:cNvPr id="1" name="Chart 1"/>
        <xdr:cNvGraphicFramePr/>
      </xdr:nvGraphicFramePr>
      <xdr:xfrm>
        <a:off x="141120" y="48531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47</xdr:row>
      <xdr:rowOff>0</xdr:rowOff>
    </xdr:from>
    <xdr:to>
      <xdr:col>10</xdr:col>
      <xdr:colOff>277200</xdr:colOff>
      <xdr:row>62</xdr:row>
      <xdr:rowOff>21960</xdr:rowOff>
    </xdr:to>
    <xdr:graphicFrame>
      <xdr:nvGraphicFramePr>
        <xdr:cNvPr id="2" name="Chart 2"/>
        <xdr:cNvGraphicFramePr/>
      </xdr:nvGraphicFramePr>
      <xdr:xfrm>
        <a:off x="141120" y="94251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71</xdr:row>
      <xdr:rowOff>0</xdr:rowOff>
    </xdr:from>
    <xdr:to>
      <xdr:col>10</xdr:col>
      <xdr:colOff>277200</xdr:colOff>
      <xdr:row>86</xdr:row>
      <xdr:rowOff>21960</xdr:rowOff>
    </xdr:to>
    <xdr:graphicFrame>
      <xdr:nvGraphicFramePr>
        <xdr:cNvPr id="3" name="Chart 3"/>
        <xdr:cNvGraphicFramePr/>
      </xdr:nvGraphicFramePr>
      <xdr:xfrm>
        <a:off x="141120" y="139971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0"/>
  </cols>
  <sheetData>
    <row r="2" customFormat="false" ht="52.95" hidden="false" customHeight="false" outlineLevel="0" collapsed="false">
      <c r="B2" s="1" t="s">
        <v>0</v>
      </c>
    </row>
    <row r="3" customFormat="false" ht="35.0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</row>
    <row r="6" customFormat="false" ht="23.85" hidden="false" customHeight="false" outlineLevel="0" collapsed="false">
      <c r="B6" s="5" t="s">
        <v>3</v>
      </c>
      <c r="C6" s="6" t="s">
        <v>4</v>
      </c>
    </row>
    <row r="7" customFormat="false" ht="23.85" hidden="false" customHeight="false" outlineLevel="0" collapsed="false">
      <c r="B7" s="5" t="s">
        <v>5</v>
      </c>
      <c r="C7" s="6" t="s">
        <v>6</v>
      </c>
    </row>
    <row r="8" customFormat="false" ht="15" hidden="false" customHeight="false" outlineLevel="0" collapsed="false">
      <c r="B8" s="5" t="s">
        <v>7</v>
      </c>
      <c r="C8" s="6" t="s">
        <v>8</v>
      </c>
    </row>
    <row r="9" customFormat="false" ht="23.85" hidden="false" customHeight="false" outlineLevel="0" collapsed="false">
      <c r="B9" s="5" t="s">
        <v>9</v>
      </c>
      <c r="C9" s="6" t="s">
        <v>10</v>
      </c>
    </row>
    <row r="11" customFormat="false" ht="15" hidden="false" customHeight="false" outlineLevel="0" collapsed="false">
      <c r="B11" s="3" t="s">
        <v>11</v>
      </c>
      <c r="C11" s="4"/>
    </row>
    <row r="12" customFormat="false" ht="15" hidden="false" customHeight="false" outlineLevel="0" collapsed="false">
      <c r="B12" s="5" t="s">
        <v>12</v>
      </c>
      <c r="C12" s="6" t="s">
        <v>13</v>
      </c>
    </row>
    <row r="13" customFormat="false" ht="15" hidden="false" customHeight="false" outlineLevel="0" collapsed="false">
      <c r="B13" s="5" t="s">
        <v>14</v>
      </c>
      <c r="C13" s="6" t="s">
        <v>15</v>
      </c>
    </row>
    <row r="14" customFormat="false" ht="15" hidden="false" customHeight="false" outlineLevel="0" collapsed="false">
      <c r="B14" s="5" t="s">
        <v>16</v>
      </c>
      <c r="C14" s="6" t="s">
        <v>17</v>
      </c>
    </row>
    <row r="15" customFormat="false" ht="15" hidden="false" customHeight="false" outlineLevel="0" collapsed="false">
      <c r="B15" s="5" t="s">
        <v>18</v>
      </c>
      <c r="C15" s="6" t="s">
        <v>19</v>
      </c>
    </row>
    <row r="16" customFormat="false" ht="15" hidden="false" customHeight="false" outlineLevel="0" collapsed="false">
      <c r="B16" s="5" t="s">
        <v>20</v>
      </c>
      <c r="C16" s="6" t="s">
        <v>21</v>
      </c>
    </row>
    <row r="17" customFormat="false" ht="15" hidden="false" customHeight="false" outlineLevel="0" collapsed="false">
      <c r="B17" s="5" t="s">
        <v>22</v>
      </c>
      <c r="C17" s="6" t="s">
        <v>23</v>
      </c>
    </row>
    <row r="19" customFormat="false" ht="15" hidden="false" customHeight="false" outlineLevel="0" collapsed="false">
      <c r="B19" s="3" t="s">
        <v>24</v>
      </c>
      <c r="C19" s="4"/>
    </row>
    <row r="20" customFormat="false" ht="15" hidden="false" customHeight="false" outlineLevel="0" collapsed="false">
      <c r="B20" s="5" t="s">
        <v>25</v>
      </c>
      <c r="C20" s="6" t="s">
        <v>26</v>
      </c>
    </row>
    <row r="21" customFormat="false" ht="15" hidden="false" customHeight="false" outlineLevel="0" collapsed="false">
      <c r="B21" s="5" t="s">
        <v>27</v>
      </c>
      <c r="C21" s="6" t="s">
        <v>28</v>
      </c>
    </row>
    <row r="22" customFormat="false" ht="15" hidden="false" customHeight="false" outlineLevel="0" collapsed="false">
      <c r="B22" s="5" t="s">
        <v>29</v>
      </c>
      <c r="C22" s="6" t="s">
        <v>30</v>
      </c>
    </row>
    <row r="23" customFormat="false" ht="15" hidden="false" customHeight="false" outlineLevel="0" collapsed="false">
      <c r="B23" s="5" t="s">
        <v>31</v>
      </c>
      <c r="C23" s="6" t="s">
        <v>32</v>
      </c>
    </row>
    <row r="24" customFormat="false" ht="15" hidden="false" customHeight="false" outlineLevel="0" collapsed="false">
      <c r="B24" s="5" t="s">
        <v>33</v>
      </c>
      <c r="C24" s="6" t="s">
        <v>34</v>
      </c>
    </row>
    <row r="26" customFormat="false" ht="15" hidden="false" customHeight="false" outlineLevel="0" collapsed="false">
      <c r="B26" s="3" t="s">
        <v>35</v>
      </c>
      <c r="C26" s="4"/>
    </row>
    <row r="27" customFormat="false" ht="15" hidden="false" customHeight="false" outlineLevel="0" collapsed="false">
      <c r="B27" s="5" t="s">
        <v>36</v>
      </c>
      <c r="C27" s="6" t="s">
        <v>37</v>
      </c>
    </row>
    <row r="28" customFormat="false" ht="15" hidden="false" customHeight="false" outlineLevel="0" collapsed="false">
      <c r="B28" s="5" t="s">
        <v>38</v>
      </c>
      <c r="C28" s="6" t="s">
        <v>39</v>
      </c>
    </row>
    <row r="29" customFormat="false" ht="15" hidden="false" customHeight="false" outlineLevel="0" collapsed="false">
      <c r="B29" s="5" t="s">
        <v>40</v>
      </c>
      <c r="C29" s="6" t="s">
        <v>41</v>
      </c>
    </row>
    <row r="30" customFormat="false" ht="15" hidden="false" customHeight="false" outlineLevel="0" collapsed="false">
      <c r="B30" s="5" t="s">
        <v>42</v>
      </c>
      <c r="C30" s="6" t="s">
        <v>43</v>
      </c>
    </row>
    <row r="31" customFormat="false" ht="15" hidden="false" customHeight="false" outlineLevel="0" collapsed="false">
      <c r="B31" s="5" t="s">
        <v>44</v>
      </c>
      <c r="C31" s="6" t="s">
        <v>45</v>
      </c>
    </row>
    <row r="32" customFormat="false" ht="15" hidden="false" customHeight="false" outlineLevel="0" collapsed="false">
      <c r="B32" s="5" t="s">
        <v>46</v>
      </c>
      <c r="C32" s="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20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20"/>
    <col collapsed="false" customWidth="true" hidden="false" outlineLevel="0" max="10" min="10" style="0" width="30"/>
    <col collapsed="false" customWidth="true" hidden="false" outlineLevel="0" max="11" min="11" style="0" width="14"/>
  </cols>
  <sheetData>
    <row r="2" customFormat="false" ht="19.7" hidden="false" customHeight="false" outlineLevel="0" collapsed="false">
      <c r="B2" s="7" t="s">
        <v>36</v>
      </c>
    </row>
    <row r="3" customFormat="false" ht="15" hidden="false" customHeight="false" outlineLevel="0" collapsed="false">
      <c r="B3" s="8" t="s">
        <v>48</v>
      </c>
    </row>
    <row r="4" customFormat="false" ht="15" hidden="false" customHeight="false" outlineLevel="0" collapsed="false">
      <c r="B4" s="9" t="s">
        <v>49</v>
      </c>
      <c r="C4" s="9"/>
      <c r="D4" s="10" t="n">
        <v>46328</v>
      </c>
    </row>
    <row r="5" customFormat="false" ht="15" hidden="false" customHeight="false" outlineLevel="0" collapsed="false">
      <c r="B5" s="9" t="s">
        <v>50</v>
      </c>
      <c r="C5" s="9"/>
      <c r="D5" s="11" t="n">
        <v>15</v>
      </c>
    </row>
    <row r="6" customFormat="false" ht="15" hidden="false" customHeight="false" outlineLevel="0" collapsed="false">
      <c r="B6" s="9" t="s">
        <v>51</v>
      </c>
      <c r="C6" s="9"/>
      <c r="D6" s="11" t="n">
        <v>10</v>
      </c>
    </row>
    <row r="8" customFormat="false" ht="23.85" hidden="false" customHeight="false" outlineLevel="0" collapsed="false">
      <c r="B8" s="12" t="s">
        <v>52</v>
      </c>
      <c r="C8" s="12" t="s">
        <v>53</v>
      </c>
      <c r="D8" s="12" t="s">
        <v>54</v>
      </c>
      <c r="E8" s="12" t="s">
        <v>55</v>
      </c>
      <c r="F8" s="12" t="s">
        <v>56</v>
      </c>
      <c r="G8" s="12" t="s">
        <v>57</v>
      </c>
      <c r="H8" s="12" t="s">
        <v>58</v>
      </c>
      <c r="I8" s="12" t="s">
        <v>59</v>
      </c>
      <c r="J8" s="12" t="s">
        <v>60</v>
      </c>
      <c r="K8" s="12" t="s">
        <v>61</v>
      </c>
    </row>
    <row r="9" customFormat="false" ht="15" hidden="false" customHeight="false" outlineLevel="0" collapsed="false">
      <c r="B9" s="13" t="n">
        <v>1</v>
      </c>
      <c r="C9" s="14" t="s">
        <v>62</v>
      </c>
      <c r="D9" s="15" t="n">
        <f aca="false">$D$4+(B9-1)*7</f>
        <v>46328</v>
      </c>
      <c r="E9" s="16" t="n">
        <f aca="false">$D$5</f>
        <v>15</v>
      </c>
      <c r="F9" s="14" t="s">
        <v>63</v>
      </c>
      <c r="G9" s="13" t="n">
        <f aca="false">'Load Targets'!E7</f>
        <v>50</v>
      </c>
      <c r="H9" s="13" t="n">
        <f aca="false">'Load Targets'!H7</f>
        <v>50</v>
      </c>
      <c r="I9" s="14" t="str">
        <f aca="false">IF(ISNUMBER(--'Load Targets'!L7),'Load Targets'!L7&amp;" reps"&amp;IF('Load Targets'!K7&gt;0," @ +"&amp;'Load Targets'!K7&amp;" lb"," (bodyweight)"),'Load Targets'!L7)</f>
        <v>30 reps (bodyweight)</v>
      </c>
      <c r="J9" s="14" t="s">
        <v>64</v>
      </c>
      <c r="K9" s="13" t="s">
        <v>62</v>
      </c>
    </row>
    <row r="10" customFormat="false" ht="15" hidden="false" customHeight="false" outlineLevel="0" collapsed="false">
      <c r="B10" s="13" t="n">
        <v>2</v>
      </c>
      <c r="C10" s="14" t="s">
        <v>62</v>
      </c>
      <c r="D10" s="15" t="n">
        <f aca="false">$D$4+(B10-1)*7</f>
        <v>46335</v>
      </c>
      <c r="E10" s="16" t="n">
        <f aca="false">E9*1.05</f>
        <v>15.75</v>
      </c>
      <c r="F10" s="14" t="s">
        <v>65</v>
      </c>
      <c r="G10" s="13" t="n">
        <f aca="false">'Load Targets'!E8</f>
        <v>55</v>
      </c>
      <c r="H10" s="13" t="n">
        <f aca="false">'Load Targets'!H8</f>
        <v>55</v>
      </c>
      <c r="I10" s="14" t="str">
        <f aca="false">IF(ISNUMBER(--'Load Targets'!L8),'Load Targets'!L8&amp;" reps"&amp;IF('Load Targets'!K8&gt;0," @ +"&amp;'Load Targets'!K8&amp;" lb"," (bodyweight)"),'Load Targets'!L8)</f>
        <v>40 reps (bodyweight)</v>
      </c>
      <c r="J10" s="14" t="s">
        <v>64</v>
      </c>
      <c r="K10" s="13" t="s">
        <v>66</v>
      </c>
    </row>
    <row r="11" customFormat="false" ht="15" hidden="false" customHeight="false" outlineLevel="0" collapsed="false">
      <c r="B11" s="13" t="n">
        <v>3</v>
      </c>
      <c r="C11" s="14" t="s">
        <v>62</v>
      </c>
      <c r="D11" s="15" t="n">
        <f aca="false">$D$4+(B11-1)*7</f>
        <v>46342</v>
      </c>
      <c r="E11" s="16" t="n">
        <f aca="false">E10*1.05</f>
        <v>16.5375</v>
      </c>
      <c r="F11" s="14" t="s">
        <v>67</v>
      </c>
      <c r="G11" s="13" t="n">
        <f aca="false">'Load Targets'!E9</f>
        <v>60</v>
      </c>
      <c r="H11" s="13" t="n">
        <f aca="false">'Load Targets'!H9</f>
        <v>60</v>
      </c>
      <c r="I11" s="14" t="str">
        <f aca="false">IF(ISNUMBER(--'Load Targets'!L9),'Load Targets'!L9&amp;" reps"&amp;IF('Load Targets'!K9&gt;0," @ +"&amp;'Load Targets'!K9&amp;" lb"," (bodyweight)"),'Load Targets'!L9)</f>
        <v>50 reps (bodyweight)</v>
      </c>
      <c r="J11" s="14" t="s">
        <v>68</v>
      </c>
      <c r="K11" s="13" t="s">
        <v>66</v>
      </c>
    </row>
    <row r="12" customFormat="false" ht="15" hidden="false" customHeight="false" outlineLevel="0" collapsed="false">
      <c r="B12" s="17" t="n">
        <v>4</v>
      </c>
      <c r="C12" s="18" t="s">
        <v>69</v>
      </c>
      <c r="D12" s="19" t="n">
        <f aca="false">$D$4+(B12-1)*7</f>
        <v>46349</v>
      </c>
      <c r="E12" s="20" t="n">
        <f aca="false">E11*0.6</f>
        <v>9.9225</v>
      </c>
      <c r="F12" s="18" t="s">
        <v>70</v>
      </c>
      <c r="G12" s="17" t="n">
        <f aca="false">'Load Targets'!E10</f>
        <v>50</v>
      </c>
      <c r="H12" s="17" t="n">
        <f aca="false">'Load Targets'!H10</f>
        <v>45</v>
      </c>
      <c r="I12" s="18" t="str">
        <f aca="false">IF(ISNUMBER(--'Load Targets'!L10),'Load Targets'!L10&amp;" reps"&amp;IF('Load Targets'!K10&gt;0," @ +"&amp;'Load Targets'!K10&amp;" lb"," (bodyweight)"),'Load Targets'!L10)</f>
        <v>25 reps (bodyweight)</v>
      </c>
      <c r="J12" s="18" t="s">
        <v>71</v>
      </c>
      <c r="K12" s="17" t="s">
        <v>72</v>
      </c>
    </row>
    <row r="13" customFormat="false" ht="15" hidden="false" customHeight="false" outlineLevel="0" collapsed="false">
      <c r="B13" s="13" t="n">
        <v>5</v>
      </c>
      <c r="C13" s="14" t="s">
        <v>73</v>
      </c>
      <c r="D13" s="15" t="n">
        <f aca="false">$D$4+(B13-1)*7</f>
        <v>46356</v>
      </c>
      <c r="E13" s="16" t="n">
        <f aca="false">E11*1.1</f>
        <v>18.19125</v>
      </c>
      <c r="F13" s="14" t="s">
        <v>74</v>
      </c>
      <c r="G13" s="13" t="n">
        <f aca="false">'Load Targets'!E11</f>
        <v>70</v>
      </c>
      <c r="H13" s="13" t="n">
        <f aca="false">'Load Targets'!H11</f>
        <v>65</v>
      </c>
      <c r="I13" s="14" t="str">
        <f aca="false">IF(ISNUMBER(--'Load Targets'!L11),'Load Targets'!L11&amp;" reps"&amp;IF('Load Targets'!K11&gt;0," @ +"&amp;'Load Targets'!K11&amp;" lb"," (bodyweight)"),'Load Targets'!L11)</f>
        <v>30 reps @ +5 lb</v>
      </c>
      <c r="J13" s="14" t="s">
        <v>75</v>
      </c>
      <c r="K13" s="13" t="s">
        <v>76</v>
      </c>
    </row>
    <row r="14" customFormat="false" ht="15" hidden="false" customHeight="false" outlineLevel="0" collapsed="false">
      <c r="B14" s="13" t="n">
        <v>6</v>
      </c>
      <c r="C14" s="14" t="s">
        <v>73</v>
      </c>
      <c r="D14" s="15" t="n">
        <f aca="false">$D$4+(B14-1)*7</f>
        <v>46363</v>
      </c>
      <c r="E14" s="16" t="n">
        <f aca="false">E13*1.1</f>
        <v>20.010375</v>
      </c>
      <c r="F14" s="14" t="s">
        <v>77</v>
      </c>
      <c r="G14" s="13" t="n">
        <f aca="false">'Load Targets'!E12</f>
        <v>75</v>
      </c>
      <c r="H14" s="13" t="n">
        <f aca="false">'Load Targets'!H12</f>
        <v>70</v>
      </c>
      <c r="I14" s="14" t="str">
        <f aca="false">IF(ISNUMBER(--'Load Targets'!L12),'Load Targets'!L12&amp;" reps"&amp;IF('Load Targets'!K12&gt;0," @ +"&amp;'Load Targets'!K12&amp;" lb"," (bodyweight)"),'Load Targets'!L12)</f>
        <v>35 reps @ +10 lb</v>
      </c>
      <c r="J14" s="14" t="s">
        <v>78</v>
      </c>
      <c r="K14" s="13" t="s">
        <v>76</v>
      </c>
    </row>
    <row r="15" customFormat="false" ht="15" hidden="false" customHeight="false" outlineLevel="0" collapsed="false">
      <c r="B15" s="13" t="n">
        <v>7</v>
      </c>
      <c r="C15" s="14" t="s">
        <v>73</v>
      </c>
      <c r="D15" s="15" t="n">
        <f aca="false">$D$4+(B15-1)*7</f>
        <v>46370</v>
      </c>
      <c r="E15" s="16" t="n">
        <f aca="false">E14*1.1</f>
        <v>22.0114125</v>
      </c>
      <c r="F15" s="14" t="s">
        <v>79</v>
      </c>
      <c r="G15" s="13" t="n">
        <f aca="false">'Load Targets'!E13</f>
        <v>85</v>
      </c>
      <c r="H15" s="13" t="n">
        <f aca="false">'Load Targets'!H13</f>
        <v>80</v>
      </c>
      <c r="I15" s="14" t="str">
        <f aca="false">IF(ISNUMBER(--'Load Targets'!L13),'Load Targets'!L13&amp;" reps"&amp;IF('Load Targets'!K13&gt;0," @ +"&amp;'Load Targets'!K13&amp;" lb"," (bodyweight)"),'Load Targets'!L13)</f>
        <v>40 reps @ +15 lb</v>
      </c>
      <c r="J15" s="14" t="s">
        <v>80</v>
      </c>
      <c r="K15" s="13" t="s">
        <v>76</v>
      </c>
    </row>
    <row r="16" customFormat="false" ht="23.85" hidden="false" customHeight="false" outlineLevel="0" collapsed="false">
      <c r="B16" s="17" t="n">
        <v>8</v>
      </c>
      <c r="C16" s="18" t="s">
        <v>81</v>
      </c>
      <c r="D16" s="19" t="n">
        <f aca="false">$D$4+(B16-1)*7</f>
        <v>46377</v>
      </c>
      <c r="E16" s="20" t="n">
        <f aca="false">E15*0.6</f>
        <v>13.2068475</v>
      </c>
      <c r="F16" s="18" t="s">
        <v>63</v>
      </c>
      <c r="G16" s="17" t="n">
        <f aca="false">'Load Targets'!E14</f>
        <v>70</v>
      </c>
      <c r="H16" s="17" t="n">
        <f aca="false">'Load Targets'!H14</f>
        <v>60</v>
      </c>
      <c r="I16" s="18" t="str">
        <f aca="false">IF(ISNUMBER(--'Load Targets'!L14),'Load Targets'!L14&amp;" reps"&amp;IF('Load Targets'!K14&gt;0," @ +"&amp;'Load Targets'!K14&amp;" lb"," (bodyweight)"),'Load Targets'!L14)</f>
        <v>Test: max strict reps</v>
      </c>
      <c r="J16" s="18" t="s">
        <v>82</v>
      </c>
      <c r="K16" s="17" t="s">
        <v>72</v>
      </c>
    </row>
    <row r="17" customFormat="false" ht="15" hidden="false" customHeight="false" outlineLevel="0" collapsed="false">
      <c r="B17" s="13" t="n">
        <v>9</v>
      </c>
      <c r="C17" s="14" t="s">
        <v>83</v>
      </c>
      <c r="D17" s="15" t="n">
        <f aca="false">$D$4+(B17-1)*7</f>
        <v>46384</v>
      </c>
      <c r="E17" s="16" t="n">
        <f aca="false">E15</f>
        <v>22.0114125</v>
      </c>
      <c r="F17" s="14" t="s">
        <v>84</v>
      </c>
      <c r="G17" s="13" t="n">
        <f aca="false">'Load Targets'!E15</f>
        <v>90</v>
      </c>
      <c r="H17" s="13" t="n">
        <f aca="false">'Load Targets'!H15</f>
        <v>90</v>
      </c>
      <c r="I17" s="14" t="str">
        <f aca="false">IF(ISNUMBER(--'Load Targets'!L15),'Load Targets'!L15&amp;" reps"&amp;IF('Load Targets'!K15&gt;0," @ +"&amp;'Load Targets'!K15&amp;" lb"," (bodyweight)"),'Load Targets'!L15)</f>
        <v>35 reps @ +15 lb</v>
      </c>
      <c r="J17" s="14" t="s">
        <v>85</v>
      </c>
      <c r="K17" s="13" t="s">
        <v>86</v>
      </c>
    </row>
    <row r="18" customFormat="false" ht="15" hidden="false" customHeight="false" outlineLevel="0" collapsed="false">
      <c r="B18" s="13" t="n">
        <v>10</v>
      </c>
      <c r="C18" s="14" t="s">
        <v>83</v>
      </c>
      <c r="D18" s="15" t="n">
        <f aca="false">$D$4+(B18-1)*7</f>
        <v>46391</v>
      </c>
      <c r="E18" s="16" t="n">
        <f aca="false">E15</f>
        <v>22.0114125</v>
      </c>
      <c r="F18" s="14" t="s">
        <v>87</v>
      </c>
      <c r="G18" s="13" t="n">
        <f aca="false">'Load Targets'!E16</f>
        <v>95</v>
      </c>
      <c r="H18" s="13" t="n">
        <f aca="false">'Load Targets'!H16</f>
        <v>95</v>
      </c>
      <c r="I18" s="14" t="str">
        <f aca="false">IF(ISNUMBER(--'Load Targets'!L16),'Load Targets'!L16&amp;" reps"&amp;IF('Load Targets'!K16&gt;0," @ +"&amp;'Load Targets'!K16&amp;" lb"," (bodyweight)"),'Load Targets'!L16)</f>
        <v>35 reps @ +20 lb</v>
      </c>
      <c r="J18" s="14" t="s">
        <v>88</v>
      </c>
      <c r="K18" s="13" t="s">
        <v>86</v>
      </c>
    </row>
    <row r="19" customFormat="false" ht="15" hidden="false" customHeight="false" outlineLevel="0" collapsed="false">
      <c r="B19" s="13" t="n">
        <v>11</v>
      </c>
      <c r="C19" s="14" t="s">
        <v>83</v>
      </c>
      <c r="D19" s="15" t="n">
        <f aca="false">$D$4+(B19-1)*7</f>
        <v>46398</v>
      </c>
      <c r="E19" s="16" t="n">
        <f aca="false">E15</f>
        <v>22.0114125</v>
      </c>
      <c r="F19" s="14" t="s">
        <v>89</v>
      </c>
      <c r="G19" s="13" t="n">
        <f aca="false">'Load Targets'!E17</f>
        <v>100</v>
      </c>
      <c r="H19" s="13" t="n">
        <f aca="false">'Load Targets'!H17</f>
        <v>100</v>
      </c>
      <c r="I19" s="14" t="str">
        <f aca="false">IF(ISNUMBER(--'Load Targets'!L17),'Load Targets'!L17&amp;" reps"&amp;IF('Load Targets'!K17&gt;0," @ +"&amp;'Load Targets'!K17&amp;" lb"," (bodyweight)"),'Load Targets'!L17)</f>
        <v>30 reps @ +20 lb</v>
      </c>
      <c r="J19" s="14" t="s">
        <v>90</v>
      </c>
      <c r="K19" s="13" t="s">
        <v>86</v>
      </c>
    </row>
    <row r="20" customFormat="false" ht="15" hidden="false" customHeight="false" outlineLevel="0" collapsed="false">
      <c r="B20" s="17" t="n">
        <v>12</v>
      </c>
      <c r="C20" s="18" t="s">
        <v>91</v>
      </c>
      <c r="D20" s="19" t="n">
        <f aca="false">$D$4+(B20-1)*7</f>
        <v>46405</v>
      </c>
      <c r="E20" s="20" t="n">
        <f aca="false">E19*0.4</f>
        <v>8.804565</v>
      </c>
      <c r="F20" s="18" t="s">
        <v>92</v>
      </c>
      <c r="G20" s="17" t="n">
        <f aca="false">'Load Targets'!E18</f>
        <v>80</v>
      </c>
      <c r="H20" s="17" t="n">
        <f aca="false">'Load Targets'!H18</f>
        <v>70</v>
      </c>
      <c r="I20" s="18" t="str">
        <f aca="false">IF(ISNUMBER(--'Load Targets'!L18),'Load Targets'!L18&amp;" reps"&amp;IF('Load Targets'!K18&gt;0," @ +"&amp;'Load Targets'!K18&amp;" lb"," (bodyweight)"),'Load Targets'!L18)</f>
        <v>15 reps (bodyweight)</v>
      </c>
      <c r="J20" s="18" t="s">
        <v>93</v>
      </c>
      <c r="K20" s="17" t="s">
        <v>94</v>
      </c>
    </row>
    <row r="22" customFormat="false" ht="30" hidden="false" customHeight="true" outlineLevel="0" collapsed="false">
      <c r="B22" s="21" t="s">
        <v>95</v>
      </c>
      <c r="C22" s="21"/>
      <c r="D22" s="21"/>
      <c r="E22" s="21"/>
      <c r="F22" s="21"/>
      <c r="G22" s="21"/>
      <c r="H22" s="21"/>
      <c r="I22" s="21"/>
      <c r="J22" s="21"/>
      <c r="K22" s="21"/>
    </row>
  </sheetData>
  <mergeCells count="4">
    <mergeCell ref="B4:C4"/>
    <mergeCell ref="B5:C5"/>
    <mergeCell ref="B6:C6"/>
    <mergeCell ref="B22:K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17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6"/>
    <col collapsed="false" customWidth="true" hidden="false" outlineLevel="0" max="8" min="8" style="0" width="26"/>
    <col collapsed="false" customWidth="true" hidden="false" outlineLevel="0" max="9" min="9" style="0" width="6"/>
    <col collapsed="false" customWidth="true" hidden="false" outlineLevel="0" max="10" min="10" style="0" width="34"/>
    <col collapsed="false" customWidth="true" hidden="false" outlineLevel="0" max="12" min="11" style="0" width="9"/>
    <col collapsed="false" customWidth="true" hidden="false" outlineLevel="0" max="15" min="13" style="0" width="8"/>
    <col collapsed="false" customWidth="true" hidden="false" outlineLevel="0" max="18" min="16" style="0" width="9"/>
  </cols>
  <sheetData>
    <row r="2" customFormat="false" ht="19.7" hidden="false" customHeight="false" outlineLevel="0" collapsed="false">
      <c r="B2" s="7" t="s">
        <v>38</v>
      </c>
    </row>
    <row r="3" customFormat="false" ht="15" hidden="false" customHeight="false" outlineLevel="0" collapsed="false">
      <c r="B3" s="8" t="s">
        <v>96</v>
      </c>
    </row>
    <row r="4" customFormat="false" ht="35.05" hidden="false" customHeight="false" outlineLevel="0" collapsed="false">
      <c r="B4" s="12" t="s">
        <v>97</v>
      </c>
      <c r="C4" s="12" t="s">
        <v>98</v>
      </c>
      <c r="D4" s="12" t="s">
        <v>99</v>
      </c>
      <c r="E4" s="12" t="s">
        <v>100</v>
      </c>
      <c r="F4" s="12" t="s">
        <v>101</v>
      </c>
      <c r="G4" s="12" t="s">
        <v>102</v>
      </c>
      <c r="H4" s="12" t="s">
        <v>103</v>
      </c>
      <c r="I4" s="12" t="s">
        <v>52</v>
      </c>
      <c r="J4" s="12" t="s">
        <v>104</v>
      </c>
      <c r="K4" s="12" t="s">
        <v>105</v>
      </c>
      <c r="L4" s="12" t="s">
        <v>106</v>
      </c>
      <c r="M4" s="12" t="s">
        <v>107</v>
      </c>
      <c r="N4" s="12" t="s">
        <v>108</v>
      </c>
      <c r="O4" s="12" t="s">
        <v>109</v>
      </c>
      <c r="P4" s="12" t="s">
        <v>110</v>
      </c>
      <c r="Q4" s="12" t="s">
        <v>111</v>
      </c>
      <c r="R4" s="12" t="s">
        <v>112</v>
      </c>
    </row>
    <row r="5" customFormat="false" ht="23.85" hidden="false" customHeight="false" outlineLevel="0" collapsed="false">
      <c r="B5" s="22" t="n">
        <v>1</v>
      </c>
      <c r="C5" s="23" t="n">
        <f aca="false">'Weekly Plan'!$D$4+B5-1</f>
        <v>46328</v>
      </c>
      <c r="D5" s="24" t="s">
        <v>113</v>
      </c>
      <c r="E5" s="25"/>
      <c r="F5" s="25"/>
      <c r="G5" s="25"/>
      <c r="H5" s="26"/>
      <c r="I5" s="22" t="n">
        <v>1</v>
      </c>
      <c r="J5" s="14" t="s">
        <v>114</v>
      </c>
      <c r="K5" s="27"/>
      <c r="L5" s="22" t="n">
        <f aca="false">INDEX('Load Targets'!$E$7:$E$18,I5)</f>
        <v>50</v>
      </c>
      <c r="M5" s="22" t="n">
        <v>7</v>
      </c>
      <c r="N5" s="22" t="n">
        <v>45</v>
      </c>
      <c r="O5" s="27" t="str">
        <f aca="false">IF(K5="","",IF(E5="Y",K5,0))</f>
        <v/>
      </c>
      <c r="P5" s="28" t="n">
        <f aca="false">N5*M5</f>
        <v>315</v>
      </c>
      <c r="Q5" s="28" t="n">
        <f aca="false">IF(E5="Y",N5*IF(G5="",M5,G5),0)</f>
        <v>0</v>
      </c>
      <c r="R5" s="29" t="str">
        <f aca="false">IF(OR(F5="",L5=""),"",F5/L5)</f>
        <v/>
      </c>
    </row>
    <row r="6" customFormat="false" ht="15" hidden="false" customHeight="false" outlineLevel="0" collapsed="false">
      <c r="B6" s="22" t="n">
        <v>2</v>
      </c>
      <c r="C6" s="23" t="n">
        <f aca="false">'Weekly Plan'!$D$4+B6-1</f>
        <v>46329</v>
      </c>
      <c r="D6" s="24" t="s">
        <v>115</v>
      </c>
      <c r="E6" s="25"/>
      <c r="F6" s="25"/>
      <c r="G6" s="25"/>
      <c r="H6" s="26"/>
      <c r="I6" s="22" t="n">
        <v>1</v>
      </c>
      <c r="J6" s="14" t="s">
        <v>116</v>
      </c>
      <c r="K6" s="27" t="n">
        <f aca="false">ROUND(INDEX('Weekly Plan'!$E$9:$E$20,I6)*0.3,1)</f>
        <v>4.5</v>
      </c>
      <c r="L6" s="22"/>
      <c r="M6" s="22" t="n">
        <v>4</v>
      </c>
      <c r="N6" s="22" t="n">
        <f aca="false">ROUND(K6*'Weekly Plan'!$D$6,0)</f>
        <v>45</v>
      </c>
      <c r="O6" s="27" t="n">
        <f aca="false">IF(K6="","",IF(E6="Y",K6,0))</f>
        <v>0</v>
      </c>
      <c r="P6" s="28" t="n">
        <f aca="false">N6*M6</f>
        <v>180</v>
      </c>
      <c r="Q6" s="28" t="n">
        <f aca="false">IF(E6="Y",N6*IF(G6="",M6,G6),0)</f>
        <v>0</v>
      </c>
      <c r="R6" s="29" t="str">
        <f aca="false">IF(OR(F6="",L6=""),"",F6/L6)</f>
        <v/>
      </c>
    </row>
    <row r="7" customFormat="false" ht="23.85" hidden="false" customHeight="false" outlineLevel="0" collapsed="false">
      <c r="B7" s="22" t="n">
        <v>3</v>
      </c>
      <c r="C7" s="23" t="n">
        <f aca="false">'Weekly Plan'!$D$4+B7-1</f>
        <v>46330</v>
      </c>
      <c r="D7" s="24" t="s">
        <v>117</v>
      </c>
      <c r="E7" s="25"/>
      <c r="F7" s="25"/>
      <c r="G7" s="25"/>
      <c r="H7" s="26"/>
      <c r="I7" s="22" t="n">
        <v>1</v>
      </c>
      <c r="J7" s="14" t="s">
        <v>118</v>
      </c>
      <c r="K7" s="27"/>
      <c r="L7" s="22" t="n">
        <f aca="false">INDEX('Load Targets'!$H$7:$H$18,I7)</f>
        <v>50</v>
      </c>
      <c r="M7" s="22" t="n">
        <v>7</v>
      </c>
      <c r="N7" s="22" t="n">
        <v>45</v>
      </c>
      <c r="O7" s="27" t="str">
        <f aca="false">IF(K7="","",IF(E7="Y",K7,0))</f>
        <v/>
      </c>
      <c r="P7" s="28" t="n">
        <f aca="false">N7*M7</f>
        <v>315</v>
      </c>
      <c r="Q7" s="28" t="n">
        <f aca="false">IF(E7="Y",N7*IF(G7="",M7,G7),0)</f>
        <v>0</v>
      </c>
      <c r="R7" s="29" t="str">
        <f aca="false">IF(OR(F7="",L7=""),"",F7/L7)</f>
        <v/>
      </c>
    </row>
    <row r="8" customFormat="false" ht="15" hidden="false" customHeight="false" outlineLevel="0" collapsed="false">
      <c r="B8" s="22" t="n">
        <v>4</v>
      </c>
      <c r="C8" s="23" t="n">
        <f aca="false">'Weekly Plan'!$D$4+B8-1</f>
        <v>46331</v>
      </c>
      <c r="D8" s="24" t="s">
        <v>56</v>
      </c>
      <c r="E8" s="25"/>
      <c r="F8" s="25"/>
      <c r="G8" s="25"/>
      <c r="H8" s="26"/>
      <c r="I8" s="22" t="n">
        <v>1</v>
      </c>
      <c r="J8" s="14" t="str">
        <f aca="false">"Warm up, "&amp;'Weekly Plan'!F9&amp;", cool down"</f>
        <v>Warm up, Tempo 15 min, cool down</v>
      </c>
      <c r="K8" s="27" t="n">
        <f aca="false">ROUND(INDEX('Weekly Plan'!$E$9:$E$20,I8)*0.25,1)</f>
        <v>3.8</v>
      </c>
      <c r="L8" s="22"/>
      <c r="M8" s="22" t="n">
        <v>7</v>
      </c>
      <c r="N8" s="22" t="n">
        <f aca="false">ROUND(K8*'Weekly Plan'!$D$6,0)</f>
        <v>38</v>
      </c>
      <c r="O8" s="27" t="n">
        <f aca="false">IF(K8="","",IF(E8="Y",K8,0))</f>
        <v>0</v>
      </c>
      <c r="P8" s="28" t="n">
        <f aca="false">N8*M8</f>
        <v>266</v>
      </c>
      <c r="Q8" s="28" t="n">
        <f aca="false">IF(E8="Y",N8*IF(G8="",M8,G8),0)</f>
        <v>0</v>
      </c>
      <c r="R8" s="29" t="str">
        <f aca="false">IF(OR(F8="",L8=""),"",F8/L8)</f>
        <v/>
      </c>
    </row>
    <row r="9" customFormat="false" ht="15" hidden="false" customHeight="false" outlineLevel="0" collapsed="false">
      <c r="B9" s="22" t="n">
        <v>5</v>
      </c>
      <c r="C9" s="23" t="n">
        <f aca="false">'Weekly Plan'!$D$4+B9-1</f>
        <v>46332</v>
      </c>
      <c r="D9" s="24" t="s">
        <v>119</v>
      </c>
      <c r="E9" s="25"/>
      <c r="F9" s="25"/>
      <c r="G9" s="25"/>
      <c r="H9" s="26"/>
      <c r="I9" s="22" t="n">
        <v>1</v>
      </c>
      <c r="J9" s="14" t="s">
        <v>120</v>
      </c>
      <c r="K9" s="27"/>
      <c r="L9" s="22"/>
      <c r="M9" s="22" t="n">
        <v>2</v>
      </c>
      <c r="N9" s="22" t="n">
        <v>20</v>
      </c>
      <c r="O9" s="27" t="str">
        <f aca="false">IF(K9="","",IF(E9="Y",K9,0))</f>
        <v/>
      </c>
      <c r="P9" s="28" t="n">
        <f aca="false">N9*M9</f>
        <v>40</v>
      </c>
      <c r="Q9" s="28" t="n">
        <f aca="false">IF(E9="Y",N9*IF(G9="",M9,G9),0)</f>
        <v>0</v>
      </c>
      <c r="R9" s="29" t="str">
        <f aca="false">IF(OR(F9="",L9=""),"",F9/L9)</f>
        <v/>
      </c>
    </row>
    <row r="10" customFormat="false" ht="15" hidden="false" customHeight="false" outlineLevel="0" collapsed="false">
      <c r="B10" s="22" t="n">
        <v>6</v>
      </c>
      <c r="C10" s="23" t="n">
        <f aca="false">'Weekly Plan'!$D$4+B10-1</f>
        <v>46333</v>
      </c>
      <c r="D10" s="24" t="s">
        <v>121</v>
      </c>
      <c r="E10" s="25"/>
      <c r="F10" s="25"/>
      <c r="G10" s="25"/>
      <c r="H10" s="26"/>
      <c r="I10" s="22" t="n">
        <v>1</v>
      </c>
      <c r="J10" s="14" t="s">
        <v>122</v>
      </c>
      <c r="K10" s="27" t="n">
        <f aca="false">ROUND(INDEX('Weekly Plan'!$E$9:$E$20,I10)*0.45,1)</f>
        <v>6.8</v>
      </c>
      <c r="L10" s="22"/>
      <c r="M10" s="22" t="n">
        <v>5</v>
      </c>
      <c r="N10" s="22" t="n">
        <f aca="false">ROUND(K10*'Weekly Plan'!$D$6,0)</f>
        <v>68</v>
      </c>
      <c r="O10" s="27" t="n">
        <f aca="false">IF(K10="","",IF(E10="Y",K10,0))</f>
        <v>0</v>
      </c>
      <c r="P10" s="28" t="n">
        <f aca="false">N10*M10</f>
        <v>340</v>
      </c>
      <c r="Q10" s="28" t="n">
        <f aca="false">IF(E10="Y",N10*IF(G10="",M10,G10),0)</f>
        <v>0</v>
      </c>
      <c r="R10" s="29" t="str">
        <f aca="false">IF(OR(F10="",L10=""),"",F10/L10)</f>
        <v/>
      </c>
    </row>
    <row r="11" customFormat="false" ht="23.85" hidden="false" customHeight="false" outlineLevel="0" collapsed="false">
      <c r="B11" s="30" t="n">
        <v>7</v>
      </c>
      <c r="C11" s="31" t="n">
        <f aca="false">'Weekly Plan'!$D$4+B11-1</f>
        <v>46334</v>
      </c>
      <c r="D11" s="32" t="s">
        <v>123</v>
      </c>
      <c r="E11" s="33"/>
      <c r="F11" s="33"/>
      <c r="G11" s="33"/>
      <c r="H11" s="34"/>
      <c r="I11" s="30" t="n">
        <v>1</v>
      </c>
      <c r="J11" s="35" t="s">
        <v>124</v>
      </c>
      <c r="K11" s="36"/>
      <c r="L11" s="30" t="n">
        <f aca="false">ROUND(INDEX('Load Targets'!$H$7:$H$18,I11)*0.5/5,0)*5</f>
        <v>25</v>
      </c>
      <c r="M11" s="30" t="n">
        <v>4</v>
      </c>
      <c r="N11" s="30" t="n">
        <v>30</v>
      </c>
      <c r="O11" s="36" t="str">
        <f aca="false">IF(K11="","",IF(E11="Y",K11,0))</f>
        <v/>
      </c>
      <c r="P11" s="37" t="n">
        <f aca="false">N11*M11</f>
        <v>120</v>
      </c>
      <c r="Q11" s="37" t="n">
        <f aca="false">IF(E11="Y",N11*IF(G11="",M11,G11),0)</f>
        <v>0</v>
      </c>
      <c r="R11" s="38" t="str">
        <f aca="false">IF(OR(F11="",L11=""),"",F11/L11)</f>
        <v/>
      </c>
    </row>
    <row r="12" customFormat="false" ht="23.85" hidden="false" customHeight="false" outlineLevel="0" collapsed="false">
      <c r="B12" s="22" t="n">
        <v>8</v>
      </c>
      <c r="C12" s="23" t="n">
        <f aca="false">'Weekly Plan'!$D$4+B12-1</f>
        <v>46335</v>
      </c>
      <c r="D12" s="24" t="s">
        <v>113</v>
      </c>
      <c r="E12" s="25"/>
      <c r="F12" s="25"/>
      <c r="G12" s="25"/>
      <c r="H12" s="26"/>
      <c r="I12" s="22" t="n">
        <v>2</v>
      </c>
      <c r="J12" s="14" t="s">
        <v>114</v>
      </c>
      <c r="K12" s="27"/>
      <c r="L12" s="22" t="n">
        <f aca="false">INDEX('Load Targets'!$E$7:$E$18,I12)</f>
        <v>55</v>
      </c>
      <c r="M12" s="22" t="n">
        <v>7</v>
      </c>
      <c r="N12" s="22" t="n">
        <v>45</v>
      </c>
      <c r="O12" s="27" t="str">
        <f aca="false">IF(K12="","",IF(E12="Y",K12,0))</f>
        <v/>
      </c>
      <c r="P12" s="28" t="n">
        <f aca="false">N12*M12</f>
        <v>315</v>
      </c>
      <c r="Q12" s="28" t="n">
        <f aca="false">IF(E12="Y",N12*IF(G12="",M12,G12),0)</f>
        <v>0</v>
      </c>
      <c r="R12" s="29" t="str">
        <f aca="false">IF(OR(F12="",L12=""),"",F12/L12)</f>
        <v/>
      </c>
    </row>
    <row r="13" customFormat="false" ht="15" hidden="false" customHeight="false" outlineLevel="0" collapsed="false">
      <c r="B13" s="22" t="n">
        <v>9</v>
      </c>
      <c r="C13" s="23" t="n">
        <f aca="false">'Weekly Plan'!$D$4+B13-1</f>
        <v>46336</v>
      </c>
      <c r="D13" s="24" t="s">
        <v>115</v>
      </c>
      <c r="E13" s="25"/>
      <c r="F13" s="25"/>
      <c r="G13" s="25"/>
      <c r="H13" s="26"/>
      <c r="I13" s="22" t="n">
        <v>2</v>
      </c>
      <c r="J13" s="14" t="s">
        <v>116</v>
      </c>
      <c r="K13" s="27" t="n">
        <f aca="false">ROUND(INDEX('Weekly Plan'!$E$9:$E$20,I13)*0.3,1)</f>
        <v>4.7</v>
      </c>
      <c r="L13" s="22"/>
      <c r="M13" s="22" t="n">
        <v>4</v>
      </c>
      <c r="N13" s="22" t="n">
        <f aca="false">ROUND(K13*'Weekly Plan'!$D$6,0)</f>
        <v>47</v>
      </c>
      <c r="O13" s="27" t="n">
        <f aca="false">IF(K13="","",IF(E13="Y",K13,0))</f>
        <v>0</v>
      </c>
      <c r="P13" s="28" t="n">
        <f aca="false">N13*M13</f>
        <v>188</v>
      </c>
      <c r="Q13" s="28" t="n">
        <f aca="false">IF(E13="Y",N13*IF(G13="",M13,G13),0)</f>
        <v>0</v>
      </c>
      <c r="R13" s="29" t="str">
        <f aca="false">IF(OR(F13="",L13=""),"",F13/L13)</f>
        <v/>
      </c>
    </row>
    <row r="14" customFormat="false" ht="23.85" hidden="false" customHeight="false" outlineLevel="0" collapsed="false">
      <c r="B14" s="22" t="n">
        <v>10</v>
      </c>
      <c r="C14" s="23" t="n">
        <f aca="false">'Weekly Plan'!$D$4+B14-1</f>
        <v>46337</v>
      </c>
      <c r="D14" s="24" t="s">
        <v>117</v>
      </c>
      <c r="E14" s="25"/>
      <c r="F14" s="25"/>
      <c r="G14" s="25"/>
      <c r="H14" s="26"/>
      <c r="I14" s="22" t="n">
        <v>2</v>
      </c>
      <c r="J14" s="14" t="s">
        <v>118</v>
      </c>
      <c r="K14" s="27"/>
      <c r="L14" s="22" t="n">
        <f aca="false">INDEX('Load Targets'!$H$7:$H$18,I14)</f>
        <v>55</v>
      </c>
      <c r="M14" s="22" t="n">
        <v>7</v>
      </c>
      <c r="N14" s="22" t="n">
        <v>45</v>
      </c>
      <c r="O14" s="27" t="str">
        <f aca="false">IF(K14="","",IF(E14="Y",K14,0))</f>
        <v/>
      </c>
      <c r="P14" s="28" t="n">
        <f aca="false">N14*M14</f>
        <v>315</v>
      </c>
      <c r="Q14" s="28" t="n">
        <f aca="false">IF(E14="Y",N14*IF(G14="",M14,G14),0)</f>
        <v>0</v>
      </c>
      <c r="R14" s="29" t="str">
        <f aca="false">IF(OR(F14="",L14=""),"",F14/L14)</f>
        <v/>
      </c>
    </row>
    <row r="15" customFormat="false" ht="15" hidden="false" customHeight="false" outlineLevel="0" collapsed="false">
      <c r="B15" s="22" t="n">
        <v>11</v>
      </c>
      <c r="C15" s="23" t="n">
        <f aca="false">'Weekly Plan'!$D$4+B15-1</f>
        <v>46338</v>
      </c>
      <c r="D15" s="24" t="s">
        <v>56</v>
      </c>
      <c r="E15" s="25"/>
      <c r="F15" s="25"/>
      <c r="G15" s="25"/>
      <c r="H15" s="26"/>
      <c r="I15" s="22" t="n">
        <v>2</v>
      </c>
      <c r="J15" s="14" t="str">
        <f aca="false">"Warm up, "&amp;'Weekly Plan'!F10&amp;", cool down"</f>
        <v>Warm up, Tempo 20 min, cool down</v>
      </c>
      <c r="K15" s="27" t="n">
        <f aca="false">ROUND(INDEX('Weekly Plan'!$E$9:$E$20,I15)*0.25,1)</f>
        <v>3.9</v>
      </c>
      <c r="L15" s="22"/>
      <c r="M15" s="22" t="n">
        <v>7</v>
      </c>
      <c r="N15" s="22" t="n">
        <f aca="false">ROUND(K15*'Weekly Plan'!$D$6,0)</f>
        <v>39</v>
      </c>
      <c r="O15" s="27" t="n">
        <f aca="false">IF(K15="","",IF(E15="Y",K15,0))</f>
        <v>0</v>
      </c>
      <c r="P15" s="28" t="n">
        <f aca="false">N15*M15</f>
        <v>273</v>
      </c>
      <c r="Q15" s="28" t="n">
        <f aca="false">IF(E15="Y",N15*IF(G15="",M15,G15),0)</f>
        <v>0</v>
      </c>
      <c r="R15" s="29" t="str">
        <f aca="false">IF(OR(F15="",L15=""),"",F15/L15)</f>
        <v/>
      </c>
    </row>
    <row r="16" customFormat="false" ht="15" hidden="false" customHeight="false" outlineLevel="0" collapsed="false">
      <c r="B16" s="22" t="n">
        <v>12</v>
      </c>
      <c r="C16" s="23" t="n">
        <f aca="false">'Weekly Plan'!$D$4+B16-1</f>
        <v>46339</v>
      </c>
      <c r="D16" s="24" t="s">
        <v>119</v>
      </c>
      <c r="E16" s="25"/>
      <c r="F16" s="25"/>
      <c r="G16" s="25"/>
      <c r="H16" s="26"/>
      <c r="I16" s="22" t="n">
        <v>2</v>
      </c>
      <c r="J16" s="14" t="s">
        <v>120</v>
      </c>
      <c r="K16" s="27"/>
      <c r="L16" s="22"/>
      <c r="M16" s="22" t="n">
        <v>2</v>
      </c>
      <c r="N16" s="22" t="n">
        <v>20</v>
      </c>
      <c r="O16" s="27" t="str">
        <f aca="false">IF(K16="","",IF(E16="Y",K16,0))</f>
        <v/>
      </c>
      <c r="P16" s="28" t="n">
        <f aca="false">N16*M16</f>
        <v>40</v>
      </c>
      <c r="Q16" s="28" t="n">
        <f aca="false">IF(E16="Y",N16*IF(G16="",M16,G16),0)</f>
        <v>0</v>
      </c>
      <c r="R16" s="29" t="str">
        <f aca="false">IF(OR(F16="",L16=""),"",F16/L16)</f>
        <v/>
      </c>
    </row>
    <row r="17" customFormat="false" ht="15" hidden="false" customHeight="false" outlineLevel="0" collapsed="false">
      <c r="B17" s="22" t="n">
        <v>13</v>
      </c>
      <c r="C17" s="23" t="n">
        <f aca="false">'Weekly Plan'!$D$4+B17-1</f>
        <v>46340</v>
      </c>
      <c r="D17" s="24" t="s">
        <v>121</v>
      </c>
      <c r="E17" s="25"/>
      <c r="F17" s="25"/>
      <c r="G17" s="25"/>
      <c r="H17" s="26"/>
      <c r="I17" s="22" t="n">
        <v>2</v>
      </c>
      <c r="J17" s="14" t="s">
        <v>122</v>
      </c>
      <c r="K17" s="27" t="n">
        <f aca="false">ROUND(INDEX('Weekly Plan'!$E$9:$E$20,I17)*0.45,1)</f>
        <v>7.1</v>
      </c>
      <c r="L17" s="22"/>
      <c r="M17" s="22" t="n">
        <v>5</v>
      </c>
      <c r="N17" s="22" t="n">
        <f aca="false">ROUND(K17*'Weekly Plan'!$D$6,0)</f>
        <v>71</v>
      </c>
      <c r="O17" s="27" t="n">
        <f aca="false">IF(K17="","",IF(E17="Y",K17,0))</f>
        <v>0</v>
      </c>
      <c r="P17" s="28" t="n">
        <f aca="false">N17*M17</f>
        <v>355</v>
      </c>
      <c r="Q17" s="28" t="n">
        <f aca="false">IF(E17="Y",N17*IF(G17="",M17,G17),0)</f>
        <v>0</v>
      </c>
      <c r="R17" s="29" t="str">
        <f aca="false">IF(OR(F17="",L17=""),"",F17/L17)</f>
        <v/>
      </c>
    </row>
    <row r="18" customFormat="false" ht="23.85" hidden="false" customHeight="false" outlineLevel="0" collapsed="false">
      <c r="B18" s="30" t="n">
        <v>14</v>
      </c>
      <c r="C18" s="31" t="n">
        <f aca="false">'Weekly Plan'!$D$4+B18-1</f>
        <v>46341</v>
      </c>
      <c r="D18" s="32" t="s">
        <v>123</v>
      </c>
      <c r="E18" s="33"/>
      <c r="F18" s="33"/>
      <c r="G18" s="33"/>
      <c r="H18" s="34"/>
      <c r="I18" s="30" t="n">
        <v>2</v>
      </c>
      <c r="J18" s="35" t="s">
        <v>124</v>
      </c>
      <c r="K18" s="36"/>
      <c r="L18" s="30" t="n">
        <f aca="false">ROUND(INDEX('Load Targets'!$H$7:$H$18,I18)*0.5/5,0)*5</f>
        <v>30</v>
      </c>
      <c r="M18" s="30" t="n">
        <v>4</v>
      </c>
      <c r="N18" s="30" t="n">
        <v>30</v>
      </c>
      <c r="O18" s="36" t="str">
        <f aca="false">IF(K18="","",IF(E18="Y",K18,0))</f>
        <v/>
      </c>
      <c r="P18" s="37" t="n">
        <f aca="false">N18*M18</f>
        <v>120</v>
      </c>
      <c r="Q18" s="37" t="n">
        <f aca="false">IF(E18="Y",N18*IF(G18="",M18,G18),0)</f>
        <v>0</v>
      </c>
      <c r="R18" s="38" t="str">
        <f aca="false">IF(OR(F18="",L18=""),"",F18/L18)</f>
        <v/>
      </c>
    </row>
    <row r="19" customFormat="false" ht="23.85" hidden="false" customHeight="false" outlineLevel="0" collapsed="false">
      <c r="B19" s="22" t="n">
        <v>15</v>
      </c>
      <c r="C19" s="23" t="n">
        <f aca="false">'Weekly Plan'!$D$4+B19-1</f>
        <v>46342</v>
      </c>
      <c r="D19" s="24" t="s">
        <v>113</v>
      </c>
      <c r="E19" s="25"/>
      <c r="F19" s="25"/>
      <c r="G19" s="25"/>
      <c r="H19" s="26"/>
      <c r="I19" s="22" t="n">
        <v>3</v>
      </c>
      <c r="J19" s="14" t="s">
        <v>114</v>
      </c>
      <c r="K19" s="27"/>
      <c r="L19" s="22" t="n">
        <f aca="false">INDEX('Load Targets'!$E$7:$E$18,I19)</f>
        <v>60</v>
      </c>
      <c r="M19" s="22" t="n">
        <v>7</v>
      </c>
      <c r="N19" s="22" t="n">
        <v>45</v>
      </c>
      <c r="O19" s="27" t="str">
        <f aca="false">IF(K19="","",IF(E19="Y",K19,0))</f>
        <v/>
      </c>
      <c r="P19" s="28" t="n">
        <f aca="false">N19*M19</f>
        <v>315</v>
      </c>
      <c r="Q19" s="28" t="n">
        <f aca="false">IF(E19="Y",N19*IF(G19="",M19,G19),0)</f>
        <v>0</v>
      </c>
      <c r="R19" s="29" t="str">
        <f aca="false">IF(OR(F19="",L19=""),"",F19/L19)</f>
        <v/>
      </c>
    </row>
    <row r="20" customFormat="false" ht="15" hidden="false" customHeight="false" outlineLevel="0" collapsed="false">
      <c r="B20" s="22" t="n">
        <v>16</v>
      </c>
      <c r="C20" s="23" t="n">
        <f aca="false">'Weekly Plan'!$D$4+B20-1</f>
        <v>46343</v>
      </c>
      <c r="D20" s="24" t="s">
        <v>115</v>
      </c>
      <c r="E20" s="25"/>
      <c r="F20" s="25"/>
      <c r="G20" s="25"/>
      <c r="H20" s="26"/>
      <c r="I20" s="22" t="n">
        <v>3</v>
      </c>
      <c r="J20" s="14" t="s">
        <v>116</v>
      </c>
      <c r="K20" s="27" t="n">
        <f aca="false">ROUND(INDEX('Weekly Plan'!$E$9:$E$20,I20)*0.3,1)</f>
        <v>5</v>
      </c>
      <c r="L20" s="22"/>
      <c r="M20" s="22" t="n">
        <v>4</v>
      </c>
      <c r="N20" s="22" t="n">
        <f aca="false">ROUND(K20*'Weekly Plan'!$D$6,0)</f>
        <v>50</v>
      </c>
      <c r="O20" s="27" t="n">
        <f aca="false">IF(K20="","",IF(E20="Y",K20,0))</f>
        <v>0</v>
      </c>
      <c r="P20" s="28" t="n">
        <f aca="false">N20*M20</f>
        <v>200</v>
      </c>
      <c r="Q20" s="28" t="n">
        <f aca="false">IF(E20="Y",N20*IF(G20="",M20,G20),0)</f>
        <v>0</v>
      </c>
      <c r="R20" s="29" t="str">
        <f aca="false">IF(OR(F20="",L20=""),"",F20/L20)</f>
        <v/>
      </c>
    </row>
    <row r="21" customFormat="false" ht="23.85" hidden="false" customHeight="false" outlineLevel="0" collapsed="false">
      <c r="B21" s="22" t="n">
        <v>17</v>
      </c>
      <c r="C21" s="23" t="n">
        <f aca="false">'Weekly Plan'!$D$4+B21-1</f>
        <v>46344</v>
      </c>
      <c r="D21" s="24" t="s">
        <v>117</v>
      </c>
      <c r="E21" s="25"/>
      <c r="F21" s="25"/>
      <c r="G21" s="25"/>
      <c r="H21" s="26"/>
      <c r="I21" s="22" t="n">
        <v>3</v>
      </c>
      <c r="J21" s="14" t="s">
        <v>118</v>
      </c>
      <c r="K21" s="27"/>
      <c r="L21" s="22" t="n">
        <f aca="false">INDEX('Load Targets'!$H$7:$H$18,I21)</f>
        <v>60</v>
      </c>
      <c r="M21" s="22" t="n">
        <v>7</v>
      </c>
      <c r="N21" s="22" t="n">
        <v>45</v>
      </c>
      <c r="O21" s="27" t="str">
        <f aca="false">IF(K21="","",IF(E21="Y",K21,0))</f>
        <v/>
      </c>
      <c r="P21" s="28" t="n">
        <f aca="false">N21*M21</f>
        <v>315</v>
      </c>
      <c r="Q21" s="28" t="n">
        <f aca="false">IF(E21="Y",N21*IF(G21="",M21,G21),0)</f>
        <v>0</v>
      </c>
      <c r="R21" s="29" t="str">
        <f aca="false">IF(OR(F21="",L21=""),"",F21/L21)</f>
        <v/>
      </c>
    </row>
    <row r="22" customFormat="false" ht="15" hidden="false" customHeight="false" outlineLevel="0" collapsed="false">
      <c r="B22" s="22" t="n">
        <v>18</v>
      </c>
      <c r="C22" s="23" t="n">
        <f aca="false">'Weekly Plan'!$D$4+B22-1</f>
        <v>46345</v>
      </c>
      <c r="D22" s="24" t="s">
        <v>56</v>
      </c>
      <c r="E22" s="25"/>
      <c r="F22" s="25"/>
      <c r="G22" s="25"/>
      <c r="H22" s="26"/>
      <c r="I22" s="22" t="n">
        <v>3</v>
      </c>
      <c r="J22" s="14" t="str">
        <f aca="false">"Warm up, "&amp;'Weekly Plan'!F11&amp;", cool down"</f>
        <v>Warm up, Tempo 25 min, cool down</v>
      </c>
      <c r="K22" s="27" t="n">
        <f aca="false">ROUND(INDEX('Weekly Plan'!$E$9:$E$20,I22)*0.25,1)</f>
        <v>4.1</v>
      </c>
      <c r="L22" s="22"/>
      <c r="M22" s="22" t="n">
        <v>7</v>
      </c>
      <c r="N22" s="22" t="n">
        <f aca="false">ROUND(K22*'Weekly Plan'!$D$6,0)</f>
        <v>41</v>
      </c>
      <c r="O22" s="27" t="n">
        <f aca="false">IF(K22="","",IF(E22="Y",K22,0))</f>
        <v>0</v>
      </c>
      <c r="P22" s="28" t="n">
        <f aca="false">N22*M22</f>
        <v>287</v>
      </c>
      <c r="Q22" s="28" t="n">
        <f aca="false">IF(E22="Y",N22*IF(G22="",M22,G22),0)</f>
        <v>0</v>
      </c>
      <c r="R22" s="29" t="str">
        <f aca="false">IF(OR(F22="",L22=""),"",F22/L22)</f>
        <v/>
      </c>
    </row>
    <row r="23" customFormat="false" ht="15" hidden="false" customHeight="false" outlineLevel="0" collapsed="false">
      <c r="B23" s="22" t="n">
        <v>19</v>
      </c>
      <c r="C23" s="23" t="n">
        <f aca="false">'Weekly Plan'!$D$4+B23-1</f>
        <v>46346</v>
      </c>
      <c r="D23" s="24" t="s">
        <v>119</v>
      </c>
      <c r="E23" s="25"/>
      <c r="F23" s="25"/>
      <c r="G23" s="25"/>
      <c r="H23" s="26"/>
      <c r="I23" s="22" t="n">
        <v>3</v>
      </c>
      <c r="J23" s="14" t="s">
        <v>120</v>
      </c>
      <c r="K23" s="27"/>
      <c r="L23" s="22"/>
      <c r="M23" s="22" t="n">
        <v>2</v>
      </c>
      <c r="N23" s="22" t="n">
        <v>20</v>
      </c>
      <c r="O23" s="27" t="str">
        <f aca="false">IF(K23="","",IF(E23="Y",K23,0))</f>
        <v/>
      </c>
      <c r="P23" s="28" t="n">
        <f aca="false">N23*M23</f>
        <v>40</v>
      </c>
      <c r="Q23" s="28" t="n">
        <f aca="false">IF(E23="Y",N23*IF(G23="",M23,G23),0)</f>
        <v>0</v>
      </c>
      <c r="R23" s="29" t="str">
        <f aca="false">IF(OR(F23="",L23=""),"",F23/L23)</f>
        <v/>
      </c>
    </row>
    <row r="24" customFormat="false" ht="15" hidden="false" customHeight="false" outlineLevel="0" collapsed="false">
      <c r="B24" s="22" t="n">
        <v>20</v>
      </c>
      <c r="C24" s="23" t="n">
        <f aca="false">'Weekly Plan'!$D$4+B24-1</f>
        <v>46347</v>
      </c>
      <c r="D24" s="24" t="s">
        <v>121</v>
      </c>
      <c r="E24" s="25"/>
      <c r="F24" s="25"/>
      <c r="G24" s="25"/>
      <c r="H24" s="26"/>
      <c r="I24" s="22" t="n">
        <v>3</v>
      </c>
      <c r="J24" s="14" t="s">
        <v>122</v>
      </c>
      <c r="K24" s="27" t="n">
        <f aca="false">ROUND(INDEX('Weekly Plan'!$E$9:$E$20,I24)*0.45,1)</f>
        <v>7.4</v>
      </c>
      <c r="L24" s="22"/>
      <c r="M24" s="22" t="n">
        <v>5</v>
      </c>
      <c r="N24" s="22" t="n">
        <f aca="false">ROUND(K24*'Weekly Plan'!$D$6,0)</f>
        <v>74</v>
      </c>
      <c r="O24" s="27" t="n">
        <f aca="false">IF(K24="","",IF(E24="Y",K24,0))</f>
        <v>0</v>
      </c>
      <c r="P24" s="28" t="n">
        <f aca="false">N24*M24</f>
        <v>370</v>
      </c>
      <c r="Q24" s="28" t="n">
        <f aca="false">IF(E24="Y",N24*IF(G24="",M24,G24),0)</f>
        <v>0</v>
      </c>
      <c r="R24" s="29" t="str">
        <f aca="false">IF(OR(F24="",L24=""),"",F24/L24)</f>
        <v/>
      </c>
    </row>
    <row r="25" customFormat="false" ht="23.85" hidden="false" customHeight="false" outlineLevel="0" collapsed="false">
      <c r="B25" s="30" t="n">
        <v>21</v>
      </c>
      <c r="C25" s="31" t="n">
        <f aca="false">'Weekly Plan'!$D$4+B25-1</f>
        <v>46348</v>
      </c>
      <c r="D25" s="32" t="s">
        <v>123</v>
      </c>
      <c r="E25" s="33"/>
      <c r="F25" s="33"/>
      <c r="G25" s="33"/>
      <c r="H25" s="34"/>
      <c r="I25" s="30" t="n">
        <v>3</v>
      </c>
      <c r="J25" s="35" t="s">
        <v>124</v>
      </c>
      <c r="K25" s="36"/>
      <c r="L25" s="30" t="n">
        <f aca="false">ROUND(INDEX('Load Targets'!$H$7:$H$18,I25)*0.5/5,0)*5</f>
        <v>30</v>
      </c>
      <c r="M25" s="30" t="n">
        <v>4</v>
      </c>
      <c r="N25" s="30" t="n">
        <v>30</v>
      </c>
      <c r="O25" s="36" t="str">
        <f aca="false">IF(K25="","",IF(E25="Y",K25,0))</f>
        <v/>
      </c>
      <c r="P25" s="37" t="n">
        <f aca="false">N25*M25</f>
        <v>120</v>
      </c>
      <c r="Q25" s="37" t="n">
        <f aca="false">IF(E25="Y",N25*IF(G25="",M25,G25),0)</f>
        <v>0</v>
      </c>
      <c r="R25" s="38" t="str">
        <f aca="false">IF(OR(F25="",L25=""),"",F25/L25)</f>
        <v/>
      </c>
    </row>
    <row r="26" customFormat="false" ht="23.85" hidden="false" customHeight="false" outlineLevel="0" collapsed="false">
      <c r="B26" s="22" t="n">
        <v>22</v>
      </c>
      <c r="C26" s="23" t="n">
        <f aca="false">'Weekly Plan'!$D$4+B26-1</f>
        <v>46349</v>
      </c>
      <c r="D26" s="24" t="s">
        <v>113</v>
      </c>
      <c r="E26" s="25"/>
      <c r="F26" s="25"/>
      <c r="G26" s="25"/>
      <c r="H26" s="26"/>
      <c r="I26" s="22" t="n">
        <v>4</v>
      </c>
      <c r="J26" s="14" t="s">
        <v>114</v>
      </c>
      <c r="K26" s="27"/>
      <c r="L26" s="22" t="n">
        <f aca="false">INDEX('Load Targets'!$E$7:$E$18,I26)</f>
        <v>50</v>
      </c>
      <c r="M26" s="22" t="n">
        <v>7</v>
      </c>
      <c r="N26" s="22" t="n">
        <v>45</v>
      </c>
      <c r="O26" s="27" t="str">
        <f aca="false">IF(K26="","",IF(E26="Y",K26,0))</f>
        <v/>
      </c>
      <c r="P26" s="28" t="n">
        <f aca="false">N26*M26</f>
        <v>315</v>
      </c>
      <c r="Q26" s="28" t="n">
        <f aca="false">IF(E26="Y",N26*IF(G26="",M26,G26),0)</f>
        <v>0</v>
      </c>
      <c r="R26" s="29" t="str">
        <f aca="false">IF(OR(F26="",L26=""),"",F26/L26)</f>
        <v/>
      </c>
    </row>
    <row r="27" customFormat="false" ht="15" hidden="false" customHeight="false" outlineLevel="0" collapsed="false">
      <c r="B27" s="22" t="n">
        <v>23</v>
      </c>
      <c r="C27" s="23" t="n">
        <f aca="false">'Weekly Plan'!$D$4+B27-1</f>
        <v>46350</v>
      </c>
      <c r="D27" s="24" t="s">
        <v>115</v>
      </c>
      <c r="E27" s="25"/>
      <c r="F27" s="25"/>
      <c r="G27" s="25"/>
      <c r="H27" s="26"/>
      <c r="I27" s="22" t="n">
        <v>4</v>
      </c>
      <c r="J27" s="14" t="s">
        <v>116</v>
      </c>
      <c r="K27" s="27" t="n">
        <f aca="false">ROUND(INDEX('Weekly Plan'!$E$9:$E$20,I27)*0.3,1)</f>
        <v>3</v>
      </c>
      <c r="L27" s="22"/>
      <c r="M27" s="22" t="n">
        <v>4</v>
      </c>
      <c r="N27" s="22" t="n">
        <f aca="false">ROUND(K27*'Weekly Plan'!$D$6,0)</f>
        <v>30</v>
      </c>
      <c r="O27" s="27" t="n">
        <f aca="false">IF(K27="","",IF(E27="Y",K27,0))</f>
        <v>0</v>
      </c>
      <c r="P27" s="28" t="n">
        <f aca="false">N27*M27</f>
        <v>120</v>
      </c>
      <c r="Q27" s="28" t="n">
        <f aca="false">IF(E27="Y",N27*IF(G27="",M27,G27),0)</f>
        <v>0</v>
      </c>
      <c r="R27" s="29" t="str">
        <f aca="false">IF(OR(F27="",L27=""),"",F27/L27)</f>
        <v/>
      </c>
    </row>
    <row r="28" customFormat="false" ht="15" hidden="false" customHeight="false" outlineLevel="0" collapsed="false">
      <c r="B28" s="22" t="n">
        <v>24</v>
      </c>
      <c r="C28" s="23" t="n">
        <f aca="false">'Weekly Plan'!$D$4+B28-1</f>
        <v>46351</v>
      </c>
      <c r="D28" s="24" t="s">
        <v>125</v>
      </c>
      <c r="E28" s="25"/>
      <c r="F28" s="25"/>
      <c r="G28" s="25"/>
      <c r="H28" s="26"/>
      <c r="I28" s="22" t="n">
        <v>4</v>
      </c>
      <c r="J28" s="14" t="s">
        <v>126</v>
      </c>
      <c r="K28" s="27"/>
      <c r="L28" s="22" t="n">
        <f aca="false">INDEX('Load Targets'!$H$7:$H$18,I28)</f>
        <v>45</v>
      </c>
      <c r="M28" s="22" t="n">
        <v>5</v>
      </c>
      <c r="N28" s="22" t="n">
        <v>35</v>
      </c>
      <c r="O28" s="27" t="str">
        <f aca="false">IF(K28="","",IF(E28="Y",K28,0))</f>
        <v/>
      </c>
      <c r="P28" s="28" t="n">
        <f aca="false">N28*M28</f>
        <v>175</v>
      </c>
      <c r="Q28" s="28" t="n">
        <f aca="false">IF(E28="Y",N28*IF(G28="",M28,G28),0)</f>
        <v>0</v>
      </c>
      <c r="R28" s="29" t="str">
        <f aca="false">IF(OR(F28="",L28=""),"",F28/L28)</f>
        <v/>
      </c>
    </row>
    <row r="29" customFormat="false" ht="23.85" hidden="false" customHeight="false" outlineLevel="0" collapsed="false">
      <c r="B29" s="22" t="n">
        <v>25</v>
      </c>
      <c r="C29" s="23" t="n">
        <f aca="false">'Weekly Plan'!$D$4+B29-1</f>
        <v>46352</v>
      </c>
      <c r="D29" s="24" t="s">
        <v>56</v>
      </c>
      <c r="E29" s="25"/>
      <c r="F29" s="25"/>
      <c r="G29" s="25"/>
      <c r="H29" s="26"/>
      <c r="I29" s="22" t="n">
        <v>4</v>
      </c>
      <c r="J29" s="14" t="str">
        <f aca="false">"Warm up, "&amp;'Weekly Plan'!F12&amp;", cool down"</f>
        <v>Warm up, Easy strides 6 x 20 s, cool down</v>
      </c>
      <c r="K29" s="27" t="n">
        <f aca="false">ROUND(INDEX('Weekly Plan'!$E$9:$E$20,I29)*0.25,1)</f>
        <v>2.5</v>
      </c>
      <c r="L29" s="22"/>
      <c r="M29" s="22" t="n">
        <v>7</v>
      </c>
      <c r="N29" s="22" t="n">
        <f aca="false">ROUND(K29*'Weekly Plan'!$D$6,0)</f>
        <v>25</v>
      </c>
      <c r="O29" s="27" t="n">
        <f aca="false">IF(K29="","",IF(E29="Y",K29,0))</f>
        <v>0</v>
      </c>
      <c r="P29" s="28" t="n">
        <f aca="false">N29*M29</f>
        <v>175</v>
      </c>
      <c r="Q29" s="28" t="n">
        <f aca="false">IF(E29="Y",N29*IF(G29="",M29,G29),0)</f>
        <v>0</v>
      </c>
      <c r="R29" s="29" t="str">
        <f aca="false">IF(OR(F29="",L29=""),"",F29/L29)</f>
        <v/>
      </c>
    </row>
    <row r="30" customFormat="false" ht="15" hidden="false" customHeight="false" outlineLevel="0" collapsed="false">
      <c r="B30" s="22" t="n">
        <v>26</v>
      </c>
      <c r="C30" s="23" t="n">
        <f aca="false">'Weekly Plan'!$D$4+B30-1</f>
        <v>46353</v>
      </c>
      <c r="D30" s="24" t="s">
        <v>119</v>
      </c>
      <c r="E30" s="25"/>
      <c r="F30" s="25"/>
      <c r="G30" s="25"/>
      <c r="H30" s="26"/>
      <c r="I30" s="22" t="n">
        <v>4</v>
      </c>
      <c r="J30" s="14" t="s">
        <v>120</v>
      </c>
      <c r="K30" s="27"/>
      <c r="L30" s="22"/>
      <c r="M30" s="22" t="n">
        <v>2</v>
      </c>
      <c r="N30" s="22" t="n">
        <v>20</v>
      </c>
      <c r="O30" s="27" t="str">
        <f aca="false">IF(K30="","",IF(E30="Y",K30,0))</f>
        <v/>
      </c>
      <c r="P30" s="28" t="n">
        <f aca="false">N30*M30</f>
        <v>40</v>
      </c>
      <c r="Q30" s="28" t="n">
        <f aca="false">IF(E30="Y",N30*IF(G30="",M30,G30),0)</f>
        <v>0</v>
      </c>
      <c r="R30" s="29" t="str">
        <f aca="false">IF(OR(F30="",L30=""),"",F30/L30)</f>
        <v/>
      </c>
    </row>
    <row r="31" customFormat="false" ht="15" hidden="false" customHeight="false" outlineLevel="0" collapsed="false">
      <c r="B31" s="22" t="n">
        <v>27</v>
      </c>
      <c r="C31" s="23" t="n">
        <f aca="false">'Weekly Plan'!$D$4+B31-1</f>
        <v>46354</v>
      </c>
      <c r="D31" s="24" t="s">
        <v>121</v>
      </c>
      <c r="E31" s="25"/>
      <c r="F31" s="25"/>
      <c r="G31" s="25"/>
      <c r="H31" s="26"/>
      <c r="I31" s="22" t="n">
        <v>4</v>
      </c>
      <c r="J31" s="14" t="s">
        <v>122</v>
      </c>
      <c r="K31" s="27" t="n">
        <f aca="false">ROUND(INDEX('Weekly Plan'!$E$9:$E$20,I31)*0.45,1)</f>
        <v>4.5</v>
      </c>
      <c r="L31" s="22"/>
      <c r="M31" s="22" t="n">
        <v>5</v>
      </c>
      <c r="N31" s="22" t="n">
        <f aca="false">ROUND(K31*'Weekly Plan'!$D$6,0)</f>
        <v>45</v>
      </c>
      <c r="O31" s="27" t="n">
        <f aca="false">IF(K31="","",IF(E31="Y",K31,0))</f>
        <v>0</v>
      </c>
      <c r="P31" s="28" t="n">
        <f aca="false">N31*M31</f>
        <v>225</v>
      </c>
      <c r="Q31" s="28" t="n">
        <f aca="false">IF(E31="Y",N31*IF(G31="",M31,G31),0)</f>
        <v>0</v>
      </c>
      <c r="R31" s="29" t="str">
        <f aca="false">IF(OR(F31="",L31=""),"",F31/L31)</f>
        <v/>
      </c>
    </row>
    <row r="32" customFormat="false" ht="23.85" hidden="false" customHeight="false" outlineLevel="0" collapsed="false">
      <c r="B32" s="30" t="n">
        <v>28</v>
      </c>
      <c r="C32" s="31" t="n">
        <f aca="false">'Weekly Plan'!$D$4+B32-1</f>
        <v>46355</v>
      </c>
      <c r="D32" s="32" t="s">
        <v>123</v>
      </c>
      <c r="E32" s="33"/>
      <c r="F32" s="33"/>
      <c r="G32" s="33"/>
      <c r="H32" s="34"/>
      <c r="I32" s="30" t="n">
        <v>4</v>
      </c>
      <c r="J32" s="35" t="s">
        <v>124</v>
      </c>
      <c r="K32" s="36"/>
      <c r="L32" s="30" t="n">
        <f aca="false">ROUND(INDEX('Load Targets'!$H$7:$H$18,I32)*0.5/5,0)*5</f>
        <v>25</v>
      </c>
      <c r="M32" s="30" t="n">
        <v>4</v>
      </c>
      <c r="N32" s="30" t="n">
        <v>30</v>
      </c>
      <c r="O32" s="36" t="str">
        <f aca="false">IF(K32="","",IF(E32="Y",K32,0))</f>
        <v/>
      </c>
      <c r="P32" s="37" t="n">
        <f aca="false">N32*M32</f>
        <v>120</v>
      </c>
      <c r="Q32" s="37" t="n">
        <f aca="false">IF(E32="Y",N32*IF(G32="",M32,G32),0)</f>
        <v>0</v>
      </c>
      <c r="R32" s="38" t="str">
        <f aca="false">IF(OR(F32="",L32=""),"",F32/L32)</f>
        <v/>
      </c>
    </row>
    <row r="33" customFormat="false" ht="23.85" hidden="false" customHeight="false" outlineLevel="0" collapsed="false">
      <c r="B33" s="22" t="n">
        <v>29</v>
      </c>
      <c r="C33" s="23" t="n">
        <f aca="false">'Weekly Plan'!$D$4+B33-1</f>
        <v>46356</v>
      </c>
      <c r="D33" s="24" t="s">
        <v>113</v>
      </c>
      <c r="E33" s="25"/>
      <c r="F33" s="25"/>
      <c r="G33" s="25"/>
      <c r="H33" s="26"/>
      <c r="I33" s="22" t="n">
        <v>5</v>
      </c>
      <c r="J33" s="14" t="s">
        <v>114</v>
      </c>
      <c r="K33" s="27"/>
      <c r="L33" s="22" t="n">
        <f aca="false">INDEX('Load Targets'!$E$7:$E$18,I33)</f>
        <v>70</v>
      </c>
      <c r="M33" s="22" t="n">
        <v>7</v>
      </c>
      <c r="N33" s="22" t="n">
        <v>45</v>
      </c>
      <c r="O33" s="27" t="str">
        <f aca="false">IF(K33="","",IF(E33="Y",K33,0))</f>
        <v/>
      </c>
      <c r="P33" s="28" t="n">
        <f aca="false">N33*M33</f>
        <v>315</v>
      </c>
      <c r="Q33" s="28" t="n">
        <f aca="false">IF(E33="Y",N33*IF(G33="",M33,G33),0)</f>
        <v>0</v>
      </c>
      <c r="R33" s="29" t="str">
        <f aca="false">IF(OR(F33="",L33=""),"",F33/L33)</f>
        <v/>
      </c>
    </row>
    <row r="34" customFormat="false" ht="15" hidden="false" customHeight="false" outlineLevel="0" collapsed="false">
      <c r="B34" s="22" t="n">
        <v>30</v>
      </c>
      <c r="C34" s="23" t="n">
        <f aca="false">'Weekly Plan'!$D$4+B34-1</f>
        <v>46357</v>
      </c>
      <c r="D34" s="24" t="s">
        <v>115</v>
      </c>
      <c r="E34" s="25"/>
      <c r="F34" s="25"/>
      <c r="G34" s="25"/>
      <c r="H34" s="26"/>
      <c r="I34" s="22" t="n">
        <v>5</v>
      </c>
      <c r="J34" s="14" t="s">
        <v>116</v>
      </c>
      <c r="K34" s="27" t="n">
        <f aca="false">ROUND(INDEX('Weekly Plan'!$E$9:$E$20,I34)*0.3,1)</f>
        <v>5.5</v>
      </c>
      <c r="L34" s="22"/>
      <c r="M34" s="22" t="n">
        <v>4</v>
      </c>
      <c r="N34" s="22" t="n">
        <f aca="false">ROUND(K34*'Weekly Plan'!$D$6,0)</f>
        <v>55</v>
      </c>
      <c r="O34" s="27" t="n">
        <f aca="false">IF(K34="","",IF(E34="Y",K34,0))</f>
        <v>0</v>
      </c>
      <c r="P34" s="28" t="n">
        <f aca="false">N34*M34</f>
        <v>220</v>
      </c>
      <c r="Q34" s="28" t="n">
        <f aca="false">IF(E34="Y",N34*IF(G34="",M34,G34),0)</f>
        <v>0</v>
      </c>
      <c r="R34" s="29" t="str">
        <f aca="false">IF(OR(F34="",L34=""),"",F34/L34)</f>
        <v/>
      </c>
    </row>
    <row r="35" customFormat="false" ht="23.85" hidden="false" customHeight="false" outlineLevel="0" collapsed="false">
      <c r="B35" s="22" t="n">
        <v>31</v>
      </c>
      <c r="C35" s="23" t="n">
        <f aca="false">'Weekly Plan'!$D$4+B35-1</f>
        <v>46358</v>
      </c>
      <c r="D35" s="24" t="s">
        <v>117</v>
      </c>
      <c r="E35" s="25"/>
      <c r="F35" s="25"/>
      <c r="G35" s="25"/>
      <c r="H35" s="26"/>
      <c r="I35" s="22" t="n">
        <v>5</v>
      </c>
      <c r="J35" s="14" t="s">
        <v>118</v>
      </c>
      <c r="K35" s="27"/>
      <c r="L35" s="22" t="n">
        <f aca="false">INDEX('Load Targets'!$H$7:$H$18,I35)</f>
        <v>65</v>
      </c>
      <c r="M35" s="22" t="n">
        <v>7</v>
      </c>
      <c r="N35" s="22" t="n">
        <v>45</v>
      </c>
      <c r="O35" s="27" t="str">
        <f aca="false">IF(K35="","",IF(E35="Y",K35,0))</f>
        <v/>
      </c>
      <c r="P35" s="28" t="n">
        <f aca="false">N35*M35</f>
        <v>315</v>
      </c>
      <c r="Q35" s="28" t="n">
        <f aca="false">IF(E35="Y",N35*IF(G35="",M35,G35),0)</f>
        <v>0</v>
      </c>
      <c r="R35" s="29" t="str">
        <f aca="false">IF(OR(F35="",L35=""),"",F35/L35)</f>
        <v/>
      </c>
    </row>
    <row r="36" customFormat="false" ht="15" hidden="false" customHeight="false" outlineLevel="0" collapsed="false">
      <c r="B36" s="22" t="n">
        <v>32</v>
      </c>
      <c r="C36" s="23" t="n">
        <f aca="false">'Weekly Plan'!$D$4+B36-1</f>
        <v>46359</v>
      </c>
      <c r="D36" s="24" t="s">
        <v>56</v>
      </c>
      <c r="E36" s="25"/>
      <c r="F36" s="25"/>
      <c r="G36" s="25"/>
      <c r="H36" s="26"/>
      <c r="I36" s="22" t="n">
        <v>5</v>
      </c>
      <c r="J36" s="14" t="str">
        <f aca="false">"Warm up, "&amp;'Weekly Plan'!F13&amp;", cool down"</f>
        <v>Warm up, Intervals 5 x 3 min, cool down</v>
      </c>
      <c r="K36" s="27" t="n">
        <f aca="false">ROUND(INDEX('Weekly Plan'!$E$9:$E$20,I36)*0.25,1)</f>
        <v>4.5</v>
      </c>
      <c r="L36" s="22"/>
      <c r="M36" s="22" t="n">
        <v>7</v>
      </c>
      <c r="N36" s="22" t="n">
        <f aca="false">ROUND(K36*'Weekly Plan'!$D$6,0)</f>
        <v>45</v>
      </c>
      <c r="O36" s="27" t="n">
        <f aca="false">IF(K36="","",IF(E36="Y",K36,0))</f>
        <v>0</v>
      </c>
      <c r="P36" s="28" t="n">
        <f aca="false">N36*M36</f>
        <v>315</v>
      </c>
      <c r="Q36" s="28" t="n">
        <f aca="false">IF(E36="Y",N36*IF(G36="",M36,G36),0)</f>
        <v>0</v>
      </c>
      <c r="R36" s="29" t="str">
        <f aca="false">IF(OR(F36="",L36=""),"",F36/L36)</f>
        <v/>
      </c>
    </row>
    <row r="37" customFormat="false" ht="15" hidden="false" customHeight="false" outlineLevel="0" collapsed="false">
      <c r="B37" s="22" t="n">
        <v>33</v>
      </c>
      <c r="C37" s="23" t="n">
        <f aca="false">'Weekly Plan'!$D$4+B37-1</f>
        <v>46360</v>
      </c>
      <c r="D37" s="24" t="s">
        <v>119</v>
      </c>
      <c r="E37" s="25"/>
      <c r="F37" s="25"/>
      <c r="G37" s="25"/>
      <c r="H37" s="26"/>
      <c r="I37" s="22" t="n">
        <v>5</v>
      </c>
      <c r="J37" s="14" t="s">
        <v>120</v>
      </c>
      <c r="K37" s="27"/>
      <c r="L37" s="22"/>
      <c r="M37" s="22" t="n">
        <v>2</v>
      </c>
      <c r="N37" s="22" t="n">
        <v>20</v>
      </c>
      <c r="O37" s="27" t="str">
        <f aca="false">IF(K37="","",IF(E37="Y",K37,0))</f>
        <v/>
      </c>
      <c r="P37" s="28" t="n">
        <f aca="false">N37*M37</f>
        <v>40</v>
      </c>
      <c r="Q37" s="28" t="n">
        <f aca="false">IF(E37="Y",N37*IF(G37="",M37,G37),0)</f>
        <v>0</v>
      </c>
      <c r="R37" s="29" t="str">
        <f aca="false">IF(OR(F37="",L37=""),"",F37/L37)</f>
        <v/>
      </c>
    </row>
    <row r="38" customFormat="false" ht="15" hidden="false" customHeight="false" outlineLevel="0" collapsed="false">
      <c r="B38" s="22" t="n">
        <v>34</v>
      </c>
      <c r="C38" s="23" t="n">
        <f aca="false">'Weekly Plan'!$D$4+B38-1</f>
        <v>46361</v>
      </c>
      <c r="D38" s="24" t="s">
        <v>121</v>
      </c>
      <c r="E38" s="25"/>
      <c r="F38" s="25"/>
      <c r="G38" s="25"/>
      <c r="H38" s="26"/>
      <c r="I38" s="22" t="n">
        <v>5</v>
      </c>
      <c r="J38" s="14" t="s">
        <v>122</v>
      </c>
      <c r="K38" s="27" t="n">
        <f aca="false">ROUND(INDEX('Weekly Plan'!$E$9:$E$20,I38)*0.45,1)</f>
        <v>8.2</v>
      </c>
      <c r="L38" s="22"/>
      <c r="M38" s="22" t="n">
        <v>5</v>
      </c>
      <c r="N38" s="22" t="n">
        <f aca="false">ROUND(K38*'Weekly Plan'!$D$6,0)</f>
        <v>82</v>
      </c>
      <c r="O38" s="27" t="n">
        <f aca="false">IF(K38="","",IF(E38="Y",K38,0))</f>
        <v>0</v>
      </c>
      <c r="P38" s="28" t="n">
        <f aca="false">N38*M38</f>
        <v>410</v>
      </c>
      <c r="Q38" s="28" t="n">
        <f aca="false">IF(E38="Y",N38*IF(G38="",M38,G38),0)</f>
        <v>0</v>
      </c>
      <c r="R38" s="29" t="str">
        <f aca="false">IF(OR(F38="",L38=""),"",F38/L38)</f>
        <v/>
      </c>
    </row>
    <row r="39" customFormat="false" ht="23.85" hidden="false" customHeight="false" outlineLevel="0" collapsed="false">
      <c r="B39" s="30" t="n">
        <v>35</v>
      </c>
      <c r="C39" s="31" t="n">
        <f aca="false">'Weekly Plan'!$D$4+B39-1</f>
        <v>46362</v>
      </c>
      <c r="D39" s="32" t="s">
        <v>123</v>
      </c>
      <c r="E39" s="33"/>
      <c r="F39" s="33"/>
      <c r="G39" s="33"/>
      <c r="H39" s="34"/>
      <c r="I39" s="30" t="n">
        <v>5</v>
      </c>
      <c r="J39" s="35" t="s">
        <v>124</v>
      </c>
      <c r="K39" s="36"/>
      <c r="L39" s="30" t="n">
        <f aca="false">ROUND(INDEX('Load Targets'!$H$7:$H$18,I39)*0.5/5,0)*5</f>
        <v>35</v>
      </c>
      <c r="M39" s="30" t="n">
        <v>4</v>
      </c>
      <c r="N39" s="30" t="n">
        <v>30</v>
      </c>
      <c r="O39" s="36" t="str">
        <f aca="false">IF(K39="","",IF(E39="Y",K39,0))</f>
        <v/>
      </c>
      <c r="P39" s="37" t="n">
        <f aca="false">N39*M39</f>
        <v>120</v>
      </c>
      <c r="Q39" s="37" t="n">
        <f aca="false">IF(E39="Y",N39*IF(G39="",M39,G39),0)</f>
        <v>0</v>
      </c>
      <c r="R39" s="38" t="str">
        <f aca="false">IF(OR(F39="",L39=""),"",F39/L39)</f>
        <v/>
      </c>
    </row>
    <row r="40" customFormat="false" ht="23.85" hidden="false" customHeight="false" outlineLevel="0" collapsed="false">
      <c r="B40" s="22" t="n">
        <v>36</v>
      </c>
      <c r="C40" s="23" t="n">
        <f aca="false">'Weekly Plan'!$D$4+B40-1</f>
        <v>46363</v>
      </c>
      <c r="D40" s="24" t="s">
        <v>113</v>
      </c>
      <c r="E40" s="25"/>
      <c r="F40" s="25"/>
      <c r="G40" s="25"/>
      <c r="H40" s="26"/>
      <c r="I40" s="22" t="n">
        <v>6</v>
      </c>
      <c r="J40" s="14" t="s">
        <v>114</v>
      </c>
      <c r="K40" s="27"/>
      <c r="L40" s="22" t="n">
        <f aca="false">INDEX('Load Targets'!$E$7:$E$18,I40)</f>
        <v>75</v>
      </c>
      <c r="M40" s="22" t="n">
        <v>7</v>
      </c>
      <c r="N40" s="22" t="n">
        <v>45</v>
      </c>
      <c r="O40" s="27" t="str">
        <f aca="false">IF(K40="","",IF(E40="Y",K40,0))</f>
        <v/>
      </c>
      <c r="P40" s="28" t="n">
        <f aca="false">N40*M40</f>
        <v>315</v>
      </c>
      <c r="Q40" s="28" t="n">
        <f aca="false">IF(E40="Y",N40*IF(G40="",M40,G40),0)</f>
        <v>0</v>
      </c>
      <c r="R40" s="29" t="str">
        <f aca="false">IF(OR(F40="",L40=""),"",F40/L40)</f>
        <v/>
      </c>
    </row>
    <row r="41" customFormat="false" ht="15" hidden="false" customHeight="false" outlineLevel="0" collapsed="false">
      <c r="B41" s="22" t="n">
        <v>37</v>
      </c>
      <c r="C41" s="23" t="n">
        <f aca="false">'Weekly Plan'!$D$4+B41-1</f>
        <v>46364</v>
      </c>
      <c r="D41" s="24" t="s">
        <v>115</v>
      </c>
      <c r="E41" s="25"/>
      <c r="F41" s="25"/>
      <c r="G41" s="25"/>
      <c r="H41" s="26"/>
      <c r="I41" s="22" t="n">
        <v>6</v>
      </c>
      <c r="J41" s="14" t="s">
        <v>116</v>
      </c>
      <c r="K41" s="27" t="n">
        <f aca="false">ROUND(INDEX('Weekly Plan'!$E$9:$E$20,I41)*0.3,1)</f>
        <v>6</v>
      </c>
      <c r="L41" s="22"/>
      <c r="M41" s="22" t="n">
        <v>4</v>
      </c>
      <c r="N41" s="22" t="n">
        <f aca="false">ROUND(K41*'Weekly Plan'!$D$6,0)</f>
        <v>60</v>
      </c>
      <c r="O41" s="27" t="n">
        <f aca="false">IF(K41="","",IF(E41="Y",K41,0))</f>
        <v>0</v>
      </c>
      <c r="P41" s="28" t="n">
        <f aca="false">N41*M41</f>
        <v>240</v>
      </c>
      <c r="Q41" s="28" t="n">
        <f aca="false">IF(E41="Y",N41*IF(G41="",M41,G41),0)</f>
        <v>0</v>
      </c>
      <c r="R41" s="29" t="str">
        <f aca="false">IF(OR(F41="",L41=""),"",F41/L41)</f>
        <v/>
      </c>
    </row>
    <row r="42" customFormat="false" ht="23.85" hidden="false" customHeight="false" outlineLevel="0" collapsed="false">
      <c r="B42" s="22" t="n">
        <v>38</v>
      </c>
      <c r="C42" s="23" t="n">
        <f aca="false">'Weekly Plan'!$D$4+B42-1</f>
        <v>46365</v>
      </c>
      <c r="D42" s="24" t="s">
        <v>117</v>
      </c>
      <c r="E42" s="25"/>
      <c r="F42" s="25"/>
      <c r="G42" s="25"/>
      <c r="H42" s="26"/>
      <c r="I42" s="22" t="n">
        <v>6</v>
      </c>
      <c r="J42" s="14" t="s">
        <v>118</v>
      </c>
      <c r="K42" s="27"/>
      <c r="L42" s="22" t="n">
        <f aca="false">INDEX('Load Targets'!$H$7:$H$18,I42)</f>
        <v>70</v>
      </c>
      <c r="M42" s="22" t="n">
        <v>7</v>
      </c>
      <c r="N42" s="22" t="n">
        <v>45</v>
      </c>
      <c r="O42" s="27" t="str">
        <f aca="false">IF(K42="","",IF(E42="Y",K42,0))</f>
        <v/>
      </c>
      <c r="P42" s="28" t="n">
        <f aca="false">N42*M42</f>
        <v>315</v>
      </c>
      <c r="Q42" s="28" t="n">
        <f aca="false">IF(E42="Y",N42*IF(G42="",M42,G42),0)</f>
        <v>0</v>
      </c>
      <c r="R42" s="29" t="str">
        <f aca="false">IF(OR(F42="",L42=""),"",F42/L42)</f>
        <v/>
      </c>
    </row>
    <row r="43" customFormat="false" ht="15" hidden="false" customHeight="false" outlineLevel="0" collapsed="false">
      <c r="B43" s="22" t="n">
        <v>39</v>
      </c>
      <c r="C43" s="23" t="n">
        <f aca="false">'Weekly Plan'!$D$4+B43-1</f>
        <v>46366</v>
      </c>
      <c r="D43" s="24" t="s">
        <v>56</v>
      </c>
      <c r="E43" s="25"/>
      <c r="F43" s="25"/>
      <c r="G43" s="25"/>
      <c r="H43" s="26"/>
      <c r="I43" s="22" t="n">
        <v>6</v>
      </c>
      <c r="J43" s="14" t="str">
        <f aca="false">"Warm up, "&amp;'Weekly Plan'!F14&amp;", cool down"</f>
        <v>Warm up, Intervals 6 x 3 min, cool down</v>
      </c>
      <c r="K43" s="27" t="n">
        <f aca="false">ROUND(INDEX('Weekly Plan'!$E$9:$E$20,I43)*0.25,1)</f>
        <v>5</v>
      </c>
      <c r="L43" s="22"/>
      <c r="M43" s="22" t="n">
        <v>7</v>
      </c>
      <c r="N43" s="22" t="n">
        <f aca="false">ROUND(K43*'Weekly Plan'!$D$6,0)</f>
        <v>50</v>
      </c>
      <c r="O43" s="27" t="n">
        <f aca="false">IF(K43="","",IF(E43="Y",K43,0))</f>
        <v>0</v>
      </c>
      <c r="P43" s="28" t="n">
        <f aca="false">N43*M43</f>
        <v>350</v>
      </c>
      <c r="Q43" s="28" t="n">
        <f aca="false">IF(E43="Y",N43*IF(G43="",M43,G43),0)</f>
        <v>0</v>
      </c>
      <c r="R43" s="29" t="str">
        <f aca="false">IF(OR(F43="",L43=""),"",F43/L43)</f>
        <v/>
      </c>
    </row>
    <row r="44" customFormat="false" ht="15" hidden="false" customHeight="false" outlineLevel="0" collapsed="false">
      <c r="B44" s="22" t="n">
        <v>40</v>
      </c>
      <c r="C44" s="23" t="n">
        <f aca="false">'Weekly Plan'!$D$4+B44-1</f>
        <v>46367</v>
      </c>
      <c r="D44" s="24" t="s">
        <v>119</v>
      </c>
      <c r="E44" s="25"/>
      <c r="F44" s="25"/>
      <c r="G44" s="25"/>
      <c r="H44" s="26"/>
      <c r="I44" s="22" t="n">
        <v>6</v>
      </c>
      <c r="J44" s="14" t="s">
        <v>120</v>
      </c>
      <c r="K44" s="27"/>
      <c r="L44" s="22"/>
      <c r="M44" s="22" t="n">
        <v>2</v>
      </c>
      <c r="N44" s="22" t="n">
        <v>20</v>
      </c>
      <c r="O44" s="27" t="str">
        <f aca="false">IF(K44="","",IF(E44="Y",K44,0))</f>
        <v/>
      </c>
      <c r="P44" s="28" t="n">
        <f aca="false">N44*M44</f>
        <v>40</v>
      </c>
      <c r="Q44" s="28" t="n">
        <f aca="false">IF(E44="Y",N44*IF(G44="",M44,G44),0)</f>
        <v>0</v>
      </c>
      <c r="R44" s="29" t="str">
        <f aca="false">IF(OR(F44="",L44=""),"",F44/L44)</f>
        <v/>
      </c>
    </row>
    <row r="45" customFormat="false" ht="15" hidden="false" customHeight="false" outlineLevel="0" collapsed="false">
      <c r="B45" s="22" t="n">
        <v>41</v>
      </c>
      <c r="C45" s="23" t="n">
        <f aca="false">'Weekly Plan'!$D$4+B45-1</f>
        <v>46368</v>
      </c>
      <c r="D45" s="24" t="s">
        <v>121</v>
      </c>
      <c r="E45" s="25"/>
      <c r="F45" s="25"/>
      <c r="G45" s="25"/>
      <c r="H45" s="26"/>
      <c r="I45" s="22" t="n">
        <v>6</v>
      </c>
      <c r="J45" s="14" t="s">
        <v>122</v>
      </c>
      <c r="K45" s="27" t="n">
        <f aca="false">ROUND(INDEX('Weekly Plan'!$E$9:$E$20,I45)*0.45,1)</f>
        <v>9</v>
      </c>
      <c r="L45" s="22"/>
      <c r="M45" s="22" t="n">
        <v>5</v>
      </c>
      <c r="N45" s="22" t="n">
        <f aca="false">ROUND(K45*'Weekly Plan'!$D$6,0)</f>
        <v>90</v>
      </c>
      <c r="O45" s="27" t="n">
        <f aca="false">IF(K45="","",IF(E45="Y",K45,0))</f>
        <v>0</v>
      </c>
      <c r="P45" s="28" t="n">
        <f aca="false">N45*M45</f>
        <v>450</v>
      </c>
      <c r="Q45" s="28" t="n">
        <f aca="false">IF(E45="Y",N45*IF(G45="",M45,G45),0)</f>
        <v>0</v>
      </c>
      <c r="R45" s="29" t="str">
        <f aca="false">IF(OR(F45="",L45=""),"",F45/L45)</f>
        <v/>
      </c>
    </row>
    <row r="46" customFormat="false" ht="23.85" hidden="false" customHeight="false" outlineLevel="0" collapsed="false">
      <c r="B46" s="30" t="n">
        <v>42</v>
      </c>
      <c r="C46" s="31" t="n">
        <f aca="false">'Weekly Plan'!$D$4+B46-1</f>
        <v>46369</v>
      </c>
      <c r="D46" s="32" t="s">
        <v>123</v>
      </c>
      <c r="E46" s="33"/>
      <c r="F46" s="33"/>
      <c r="G46" s="33"/>
      <c r="H46" s="34"/>
      <c r="I46" s="30" t="n">
        <v>6</v>
      </c>
      <c r="J46" s="35" t="s">
        <v>124</v>
      </c>
      <c r="K46" s="36"/>
      <c r="L46" s="30" t="n">
        <f aca="false">ROUND(INDEX('Load Targets'!$H$7:$H$18,I46)*0.5/5,0)*5</f>
        <v>35</v>
      </c>
      <c r="M46" s="30" t="n">
        <v>4</v>
      </c>
      <c r="N46" s="30" t="n">
        <v>30</v>
      </c>
      <c r="O46" s="36" t="str">
        <f aca="false">IF(K46="","",IF(E46="Y",K46,0))</f>
        <v/>
      </c>
      <c r="P46" s="37" t="n">
        <f aca="false">N46*M46</f>
        <v>120</v>
      </c>
      <c r="Q46" s="37" t="n">
        <f aca="false">IF(E46="Y",N46*IF(G46="",M46,G46),0)</f>
        <v>0</v>
      </c>
      <c r="R46" s="38" t="str">
        <f aca="false">IF(OR(F46="",L46=""),"",F46/L46)</f>
        <v/>
      </c>
    </row>
    <row r="47" customFormat="false" ht="23.85" hidden="false" customHeight="false" outlineLevel="0" collapsed="false">
      <c r="B47" s="22" t="n">
        <v>43</v>
      </c>
      <c r="C47" s="23" t="n">
        <f aca="false">'Weekly Plan'!$D$4+B47-1</f>
        <v>46370</v>
      </c>
      <c r="D47" s="24" t="s">
        <v>113</v>
      </c>
      <c r="E47" s="25"/>
      <c r="F47" s="25"/>
      <c r="G47" s="25"/>
      <c r="H47" s="26"/>
      <c r="I47" s="22" t="n">
        <v>7</v>
      </c>
      <c r="J47" s="14" t="s">
        <v>114</v>
      </c>
      <c r="K47" s="27"/>
      <c r="L47" s="22" t="n">
        <f aca="false">INDEX('Load Targets'!$E$7:$E$18,I47)</f>
        <v>85</v>
      </c>
      <c r="M47" s="22" t="n">
        <v>7</v>
      </c>
      <c r="N47" s="22" t="n">
        <v>45</v>
      </c>
      <c r="O47" s="27" t="str">
        <f aca="false">IF(K47="","",IF(E47="Y",K47,0))</f>
        <v/>
      </c>
      <c r="P47" s="28" t="n">
        <f aca="false">N47*M47</f>
        <v>315</v>
      </c>
      <c r="Q47" s="28" t="n">
        <f aca="false">IF(E47="Y",N47*IF(G47="",M47,G47),0)</f>
        <v>0</v>
      </c>
      <c r="R47" s="29" t="str">
        <f aca="false">IF(OR(F47="",L47=""),"",F47/L47)</f>
        <v/>
      </c>
    </row>
    <row r="48" customFormat="false" ht="15" hidden="false" customHeight="false" outlineLevel="0" collapsed="false">
      <c r="B48" s="22" t="n">
        <v>44</v>
      </c>
      <c r="C48" s="23" t="n">
        <f aca="false">'Weekly Plan'!$D$4+B48-1</f>
        <v>46371</v>
      </c>
      <c r="D48" s="24" t="s">
        <v>115</v>
      </c>
      <c r="E48" s="25"/>
      <c r="F48" s="25"/>
      <c r="G48" s="25"/>
      <c r="H48" s="26"/>
      <c r="I48" s="22" t="n">
        <v>7</v>
      </c>
      <c r="J48" s="14" t="s">
        <v>116</v>
      </c>
      <c r="K48" s="27" t="n">
        <f aca="false">ROUND(INDEX('Weekly Plan'!$E$9:$E$20,I48)*0.3,1)</f>
        <v>6.6</v>
      </c>
      <c r="L48" s="22"/>
      <c r="M48" s="22" t="n">
        <v>4</v>
      </c>
      <c r="N48" s="22" t="n">
        <f aca="false">ROUND(K48*'Weekly Plan'!$D$6,0)</f>
        <v>66</v>
      </c>
      <c r="O48" s="27" t="n">
        <f aca="false">IF(K48="","",IF(E48="Y",K48,0))</f>
        <v>0</v>
      </c>
      <c r="P48" s="28" t="n">
        <f aca="false">N48*M48</f>
        <v>264</v>
      </c>
      <c r="Q48" s="28" t="n">
        <f aca="false">IF(E48="Y",N48*IF(G48="",M48,G48),0)</f>
        <v>0</v>
      </c>
      <c r="R48" s="29" t="str">
        <f aca="false">IF(OR(F48="",L48=""),"",F48/L48)</f>
        <v/>
      </c>
    </row>
    <row r="49" customFormat="false" ht="23.85" hidden="false" customHeight="false" outlineLevel="0" collapsed="false">
      <c r="B49" s="22" t="n">
        <v>45</v>
      </c>
      <c r="C49" s="23" t="n">
        <f aca="false">'Weekly Plan'!$D$4+B49-1</f>
        <v>46372</v>
      </c>
      <c r="D49" s="24" t="s">
        <v>117</v>
      </c>
      <c r="E49" s="25"/>
      <c r="F49" s="25"/>
      <c r="G49" s="25"/>
      <c r="H49" s="26"/>
      <c r="I49" s="22" t="n">
        <v>7</v>
      </c>
      <c r="J49" s="14" t="s">
        <v>118</v>
      </c>
      <c r="K49" s="27"/>
      <c r="L49" s="22" t="n">
        <f aca="false">INDEX('Load Targets'!$H$7:$H$18,I49)</f>
        <v>80</v>
      </c>
      <c r="M49" s="22" t="n">
        <v>7</v>
      </c>
      <c r="N49" s="22" t="n">
        <v>45</v>
      </c>
      <c r="O49" s="27" t="str">
        <f aca="false">IF(K49="","",IF(E49="Y",K49,0))</f>
        <v/>
      </c>
      <c r="P49" s="28" t="n">
        <f aca="false">N49*M49</f>
        <v>315</v>
      </c>
      <c r="Q49" s="28" t="n">
        <f aca="false">IF(E49="Y",N49*IF(G49="",M49,G49),0)</f>
        <v>0</v>
      </c>
      <c r="R49" s="29" t="str">
        <f aca="false">IF(OR(F49="",L49=""),"",F49/L49)</f>
        <v/>
      </c>
    </row>
    <row r="50" customFormat="false" ht="15" hidden="false" customHeight="false" outlineLevel="0" collapsed="false">
      <c r="B50" s="22" t="n">
        <v>46</v>
      </c>
      <c r="C50" s="23" t="n">
        <f aca="false">'Weekly Plan'!$D$4+B50-1</f>
        <v>46373</v>
      </c>
      <c r="D50" s="24" t="s">
        <v>56</v>
      </c>
      <c r="E50" s="25"/>
      <c r="F50" s="25"/>
      <c r="G50" s="25"/>
      <c r="H50" s="26"/>
      <c r="I50" s="22" t="n">
        <v>7</v>
      </c>
      <c r="J50" s="14" t="str">
        <f aca="false">"Warm up, "&amp;'Weekly Plan'!F15&amp;", cool down"</f>
        <v>Warm up, Intervals 5 x 4 min, cool down</v>
      </c>
      <c r="K50" s="27" t="n">
        <f aca="false">ROUND(INDEX('Weekly Plan'!$E$9:$E$20,I50)*0.25,1)</f>
        <v>5.5</v>
      </c>
      <c r="L50" s="22"/>
      <c r="M50" s="22" t="n">
        <v>7</v>
      </c>
      <c r="N50" s="22" t="n">
        <f aca="false">ROUND(K50*'Weekly Plan'!$D$6,0)</f>
        <v>55</v>
      </c>
      <c r="O50" s="27" t="n">
        <f aca="false">IF(K50="","",IF(E50="Y",K50,0))</f>
        <v>0</v>
      </c>
      <c r="P50" s="28" t="n">
        <f aca="false">N50*M50</f>
        <v>385</v>
      </c>
      <c r="Q50" s="28" t="n">
        <f aca="false">IF(E50="Y",N50*IF(G50="",M50,G50),0)</f>
        <v>0</v>
      </c>
      <c r="R50" s="29" t="str">
        <f aca="false">IF(OR(F50="",L50=""),"",F50/L50)</f>
        <v/>
      </c>
    </row>
    <row r="51" customFormat="false" ht="15" hidden="false" customHeight="false" outlineLevel="0" collapsed="false">
      <c r="B51" s="22" t="n">
        <v>47</v>
      </c>
      <c r="C51" s="23" t="n">
        <f aca="false">'Weekly Plan'!$D$4+B51-1</f>
        <v>46374</v>
      </c>
      <c r="D51" s="24" t="s">
        <v>119</v>
      </c>
      <c r="E51" s="25"/>
      <c r="F51" s="25"/>
      <c r="G51" s="25"/>
      <c r="H51" s="26"/>
      <c r="I51" s="22" t="n">
        <v>7</v>
      </c>
      <c r="J51" s="14" t="s">
        <v>120</v>
      </c>
      <c r="K51" s="27"/>
      <c r="L51" s="22"/>
      <c r="M51" s="22" t="n">
        <v>2</v>
      </c>
      <c r="N51" s="22" t="n">
        <v>20</v>
      </c>
      <c r="O51" s="27" t="str">
        <f aca="false">IF(K51="","",IF(E51="Y",K51,0))</f>
        <v/>
      </c>
      <c r="P51" s="28" t="n">
        <f aca="false">N51*M51</f>
        <v>40</v>
      </c>
      <c r="Q51" s="28" t="n">
        <f aca="false">IF(E51="Y",N51*IF(G51="",M51,G51),0)</f>
        <v>0</v>
      </c>
      <c r="R51" s="29" t="str">
        <f aca="false">IF(OR(F51="",L51=""),"",F51/L51)</f>
        <v/>
      </c>
    </row>
    <row r="52" customFormat="false" ht="15" hidden="false" customHeight="false" outlineLevel="0" collapsed="false">
      <c r="B52" s="22" t="n">
        <v>48</v>
      </c>
      <c r="C52" s="23" t="n">
        <f aca="false">'Weekly Plan'!$D$4+B52-1</f>
        <v>46375</v>
      </c>
      <c r="D52" s="24" t="s">
        <v>121</v>
      </c>
      <c r="E52" s="25"/>
      <c r="F52" s="25"/>
      <c r="G52" s="25"/>
      <c r="H52" s="26"/>
      <c r="I52" s="22" t="n">
        <v>7</v>
      </c>
      <c r="J52" s="14" t="s">
        <v>122</v>
      </c>
      <c r="K52" s="27" t="n">
        <f aca="false">ROUND(INDEX('Weekly Plan'!$E$9:$E$20,I52)*0.45,1)</f>
        <v>9.9</v>
      </c>
      <c r="L52" s="22"/>
      <c r="M52" s="22" t="n">
        <v>5</v>
      </c>
      <c r="N52" s="22" t="n">
        <f aca="false">ROUND(K52*'Weekly Plan'!$D$6,0)</f>
        <v>99</v>
      </c>
      <c r="O52" s="27" t="n">
        <f aca="false">IF(K52="","",IF(E52="Y",K52,0))</f>
        <v>0</v>
      </c>
      <c r="P52" s="28" t="n">
        <f aca="false">N52*M52</f>
        <v>495</v>
      </c>
      <c r="Q52" s="28" t="n">
        <f aca="false">IF(E52="Y",N52*IF(G52="",M52,G52),0)</f>
        <v>0</v>
      </c>
      <c r="R52" s="29" t="str">
        <f aca="false">IF(OR(F52="",L52=""),"",F52/L52)</f>
        <v/>
      </c>
    </row>
    <row r="53" customFormat="false" ht="23.85" hidden="false" customHeight="false" outlineLevel="0" collapsed="false">
      <c r="B53" s="30" t="n">
        <v>49</v>
      </c>
      <c r="C53" s="31" t="n">
        <f aca="false">'Weekly Plan'!$D$4+B53-1</f>
        <v>46376</v>
      </c>
      <c r="D53" s="32" t="s">
        <v>123</v>
      </c>
      <c r="E53" s="33"/>
      <c r="F53" s="33"/>
      <c r="G53" s="33"/>
      <c r="H53" s="34"/>
      <c r="I53" s="30" t="n">
        <v>7</v>
      </c>
      <c r="J53" s="35" t="s">
        <v>124</v>
      </c>
      <c r="K53" s="36"/>
      <c r="L53" s="30" t="n">
        <f aca="false">ROUND(INDEX('Load Targets'!$H$7:$H$18,I53)*0.5/5,0)*5</f>
        <v>40</v>
      </c>
      <c r="M53" s="30" t="n">
        <v>4</v>
      </c>
      <c r="N53" s="30" t="n">
        <v>30</v>
      </c>
      <c r="O53" s="36" t="str">
        <f aca="false">IF(K53="","",IF(E53="Y",K53,0))</f>
        <v/>
      </c>
      <c r="P53" s="37" t="n">
        <f aca="false">N53*M53</f>
        <v>120</v>
      </c>
      <c r="Q53" s="37" t="n">
        <f aca="false">IF(E53="Y",N53*IF(G53="",M53,G53),0)</f>
        <v>0</v>
      </c>
      <c r="R53" s="38" t="str">
        <f aca="false">IF(OR(F53="",L53=""),"",F53/L53)</f>
        <v/>
      </c>
    </row>
    <row r="54" customFormat="false" ht="23.85" hidden="false" customHeight="false" outlineLevel="0" collapsed="false">
      <c r="B54" s="22" t="n">
        <v>50</v>
      </c>
      <c r="C54" s="23" t="n">
        <f aca="false">'Weekly Plan'!$D$4+B54-1</f>
        <v>46377</v>
      </c>
      <c r="D54" s="24" t="s">
        <v>127</v>
      </c>
      <c r="E54" s="25"/>
      <c r="F54" s="25"/>
      <c r="G54" s="25"/>
      <c r="H54" s="26"/>
      <c r="I54" s="22" t="n">
        <v>8</v>
      </c>
      <c r="J54" s="14" t="s">
        <v>128</v>
      </c>
      <c r="K54" s="27"/>
      <c r="L54" s="22" t="n">
        <f aca="false">INDEX('Load Targets'!$E$7:$E$18,I54)</f>
        <v>70</v>
      </c>
      <c r="M54" s="22" t="n">
        <v>9</v>
      </c>
      <c r="N54" s="22" t="n">
        <v>45</v>
      </c>
      <c r="O54" s="27" t="str">
        <f aca="false">IF(K54="","",IF(E54="Y",K54,0))</f>
        <v/>
      </c>
      <c r="P54" s="28" t="n">
        <f aca="false">N54*M54</f>
        <v>405</v>
      </c>
      <c r="Q54" s="28" t="n">
        <f aca="false">IF(E54="Y",N54*IF(G54="",M54,G54),0)</f>
        <v>0</v>
      </c>
      <c r="R54" s="29" t="str">
        <f aca="false">IF(OR(F54="",L54=""),"",F54/L54)</f>
        <v/>
      </c>
    </row>
    <row r="55" customFormat="false" ht="15" hidden="false" customHeight="false" outlineLevel="0" collapsed="false">
      <c r="B55" s="22" t="n">
        <v>51</v>
      </c>
      <c r="C55" s="23" t="n">
        <f aca="false">'Weekly Plan'!$D$4+B55-1</f>
        <v>46378</v>
      </c>
      <c r="D55" s="24" t="s">
        <v>115</v>
      </c>
      <c r="E55" s="25"/>
      <c r="F55" s="25"/>
      <c r="G55" s="25"/>
      <c r="H55" s="26"/>
      <c r="I55" s="22" t="n">
        <v>8</v>
      </c>
      <c r="J55" s="14" t="s">
        <v>116</v>
      </c>
      <c r="K55" s="27" t="n">
        <f aca="false">ROUND(INDEX('Weekly Plan'!$E$9:$E$20,I55)*0.3,1)</f>
        <v>4</v>
      </c>
      <c r="L55" s="22"/>
      <c r="M55" s="22" t="n">
        <v>4</v>
      </c>
      <c r="N55" s="22" t="n">
        <f aca="false">ROUND(K55*'Weekly Plan'!$D$6,0)</f>
        <v>40</v>
      </c>
      <c r="O55" s="27" t="n">
        <f aca="false">IF(K55="","",IF(E55="Y",K55,0))</f>
        <v>0</v>
      </c>
      <c r="P55" s="28" t="n">
        <f aca="false">N55*M55</f>
        <v>160</v>
      </c>
      <c r="Q55" s="28" t="n">
        <f aca="false">IF(E55="Y",N55*IF(G55="",M55,G55),0)</f>
        <v>0</v>
      </c>
      <c r="R55" s="29" t="str">
        <f aca="false">IF(OR(F55="",L55=""),"",F55/L55)</f>
        <v/>
      </c>
    </row>
    <row r="56" customFormat="false" ht="15" hidden="false" customHeight="false" outlineLevel="0" collapsed="false">
      <c r="B56" s="22" t="n">
        <v>52</v>
      </c>
      <c r="C56" s="23" t="n">
        <f aca="false">'Weekly Plan'!$D$4+B56-1</f>
        <v>46379</v>
      </c>
      <c r="D56" s="24" t="s">
        <v>125</v>
      </c>
      <c r="E56" s="25"/>
      <c r="F56" s="25"/>
      <c r="G56" s="25"/>
      <c r="H56" s="26"/>
      <c r="I56" s="22" t="n">
        <v>8</v>
      </c>
      <c r="J56" s="14" t="s">
        <v>126</v>
      </c>
      <c r="K56" s="27"/>
      <c r="L56" s="22" t="n">
        <f aca="false">INDEX('Load Targets'!$H$7:$H$18,I56)</f>
        <v>60</v>
      </c>
      <c r="M56" s="22" t="n">
        <v>5</v>
      </c>
      <c r="N56" s="22" t="n">
        <v>35</v>
      </c>
      <c r="O56" s="27" t="str">
        <f aca="false">IF(K56="","",IF(E56="Y",K56,0))</f>
        <v/>
      </c>
      <c r="P56" s="28" t="n">
        <f aca="false">N56*M56</f>
        <v>175</v>
      </c>
      <c r="Q56" s="28" t="n">
        <f aca="false">IF(E56="Y",N56*IF(G56="",M56,G56),0)</f>
        <v>0</v>
      </c>
      <c r="R56" s="29" t="str">
        <f aca="false">IF(OR(F56="",L56=""),"",F56/L56)</f>
        <v/>
      </c>
    </row>
    <row r="57" customFormat="false" ht="15" hidden="false" customHeight="false" outlineLevel="0" collapsed="false">
      <c r="B57" s="22" t="n">
        <v>53</v>
      </c>
      <c r="C57" s="23" t="n">
        <f aca="false">'Weekly Plan'!$D$4+B57-1</f>
        <v>46380</v>
      </c>
      <c r="D57" s="24" t="s">
        <v>56</v>
      </c>
      <c r="E57" s="25"/>
      <c r="F57" s="25"/>
      <c r="G57" s="25"/>
      <c r="H57" s="26"/>
      <c r="I57" s="22" t="n">
        <v>8</v>
      </c>
      <c r="J57" s="14" t="str">
        <f aca="false">"Warm up, "&amp;'Weekly Plan'!F16&amp;", cool down"</f>
        <v>Warm up, Tempo 15 min, cool down</v>
      </c>
      <c r="K57" s="27" t="n">
        <f aca="false">ROUND(INDEX('Weekly Plan'!$E$9:$E$20,I57)*0.25,1)</f>
        <v>3.3</v>
      </c>
      <c r="L57" s="22"/>
      <c r="M57" s="22" t="n">
        <v>7</v>
      </c>
      <c r="N57" s="22" t="n">
        <f aca="false">ROUND(K57*'Weekly Plan'!$D$6,0)</f>
        <v>33</v>
      </c>
      <c r="O57" s="27" t="n">
        <f aca="false">IF(K57="","",IF(E57="Y",K57,0))</f>
        <v>0</v>
      </c>
      <c r="P57" s="28" t="n">
        <f aca="false">N57*M57</f>
        <v>231</v>
      </c>
      <c r="Q57" s="28" t="n">
        <f aca="false">IF(E57="Y",N57*IF(G57="",M57,G57),0)</f>
        <v>0</v>
      </c>
      <c r="R57" s="29" t="str">
        <f aca="false">IF(OR(F57="",L57=""),"",F57/L57)</f>
        <v/>
      </c>
    </row>
    <row r="58" customFormat="false" ht="15" hidden="false" customHeight="false" outlineLevel="0" collapsed="false">
      <c r="B58" s="22" t="n">
        <v>54</v>
      </c>
      <c r="C58" s="23" t="n">
        <f aca="false">'Weekly Plan'!$D$4+B58-1</f>
        <v>46381</v>
      </c>
      <c r="D58" s="24" t="s">
        <v>119</v>
      </c>
      <c r="E58" s="25"/>
      <c r="F58" s="25"/>
      <c r="G58" s="25"/>
      <c r="H58" s="26"/>
      <c r="I58" s="22" t="n">
        <v>8</v>
      </c>
      <c r="J58" s="14" t="s">
        <v>120</v>
      </c>
      <c r="K58" s="27"/>
      <c r="L58" s="22"/>
      <c r="M58" s="22" t="n">
        <v>2</v>
      </c>
      <c r="N58" s="22" t="n">
        <v>20</v>
      </c>
      <c r="O58" s="27" t="str">
        <f aca="false">IF(K58="","",IF(E58="Y",K58,0))</f>
        <v/>
      </c>
      <c r="P58" s="28" t="n">
        <f aca="false">N58*M58</f>
        <v>40</v>
      </c>
      <c r="Q58" s="28" t="n">
        <f aca="false">IF(E58="Y",N58*IF(G58="",M58,G58),0)</f>
        <v>0</v>
      </c>
      <c r="R58" s="29" t="str">
        <f aca="false">IF(OR(F58="",L58=""),"",F58/L58)</f>
        <v/>
      </c>
    </row>
    <row r="59" customFormat="false" ht="15" hidden="false" customHeight="false" outlineLevel="0" collapsed="false">
      <c r="B59" s="22" t="n">
        <v>55</v>
      </c>
      <c r="C59" s="23" t="n">
        <f aca="false">'Weekly Plan'!$D$4+B59-1</f>
        <v>46382</v>
      </c>
      <c r="D59" s="24" t="s">
        <v>121</v>
      </c>
      <c r="E59" s="25"/>
      <c r="F59" s="25"/>
      <c r="G59" s="25"/>
      <c r="H59" s="26"/>
      <c r="I59" s="22" t="n">
        <v>8</v>
      </c>
      <c r="J59" s="14" t="s">
        <v>122</v>
      </c>
      <c r="K59" s="27" t="n">
        <f aca="false">ROUND(INDEX('Weekly Plan'!$E$9:$E$20,I59)*0.45,1)</f>
        <v>5.9</v>
      </c>
      <c r="L59" s="22"/>
      <c r="M59" s="22" t="n">
        <v>5</v>
      </c>
      <c r="N59" s="22" t="n">
        <f aca="false">ROUND(K59*'Weekly Plan'!$D$6,0)</f>
        <v>59</v>
      </c>
      <c r="O59" s="27" t="n">
        <f aca="false">IF(K59="","",IF(E59="Y",K59,0))</f>
        <v>0</v>
      </c>
      <c r="P59" s="28" t="n">
        <f aca="false">N59*M59</f>
        <v>295</v>
      </c>
      <c r="Q59" s="28" t="n">
        <f aca="false">IF(E59="Y",N59*IF(G59="",M59,G59),0)</f>
        <v>0</v>
      </c>
      <c r="R59" s="29" t="str">
        <f aca="false">IF(OR(F59="",L59=""),"",F59/L59)</f>
        <v/>
      </c>
    </row>
    <row r="60" customFormat="false" ht="23.85" hidden="false" customHeight="false" outlineLevel="0" collapsed="false">
      <c r="B60" s="30" t="n">
        <v>56</v>
      </c>
      <c r="C60" s="31" t="n">
        <f aca="false">'Weekly Plan'!$D$4+B60-1</f>
        <v>46383</v>
      </c>
      <c r="D60" s="32" t="s">
        <v>123</v>
      </c>
      <c r="E60" s="33"/>
      <c r="F60" s="33"/>
      <c r="G60" s="33"/>
      <c r="H60" s="34"/>
      <c r="I60" s="30" t="n">
        <v>8</v>
      </c>
      <c r="J60" s="35" t="s">
        <v>124</v>
      </c>
      <c r="K60" s="36"/>
      <c r="L60" s="30" t="n">
        <f aca="false">ROUND(INDEX('Load Targets'!$H$7:$H$18,I60)*0.5/5,0)*5</f>
        <v>30</v>
      </c>
      <c r="M60" s="30" t="n">
        <v>4</v>
      </c>
      <c r="N60" s="30" t="n">
        <v>30</v>
      </c>
      <c r="O60" s="36" t="str">
        <f aca="false">IF(K60="","",IF(E60="Y",K60,0))</f>
        <v/>
      </c>
      <c r="P60" s="37" t="n">
        <f aca="false">N60*M60</f>
        <v>120</v>
      </c>
      <c r="Q60" s="37" t="n">
        <f aca="false">IF(E60="Y",N60*IF(G60="",M60,G60),0)</f>
        <v>0</v>
      </c>
      <c r="R60" s="38" t="str">
        <f aca="false">IF(OR(F60="",L60=""),"",F60/L60)</f>
        <v/>
      </c>
    </row>
    <row r="61" customFormat="false" ht="23.85" hidden="false" customHeight="false" outlineLevel="0" collapsed="false">
      <c r="B61" s="22" t="n">
        <v>57</v>
      </c>
      <c r="C61" s="23" t="n">
        <f aca="false">'Weekly Plan'!$D$4+B61-1</f>
        <v>46384</v>
      </c>
      <c r="D61" s="24" t="s">
        <v>113</v>
      </c>
      <c r="E61" s="25"/>
      <c r="F61" s="25"/>
      <c r="G61" s="25"/>
      <c r="H61" s="26"/>
      <c r="I61" s="22" t="n">
        <v>9</v>
      </c>
      <c r="J61" s="14" t="s">
        <v>114</v>
      </c>
      <c r="K61" s="27"/>
      <c r="L61" s="22" t="n">
        <f aca="false">INDEX('Load Targets'!$E$7:$E$18,I61)</f>
        <v>90</v>
      </c>
      <c r="M61" s="22" t="n">
        <v>8</v>
      </c>
      <c r="N61" s="22" t="n">
        <v>45</v>
      </c>
      <c r="O61" s="27" t="str">
        <f aca="false">IF(K61="","",IF(E61="Y",K61,0))</f>
        <v/>
      </c>
      <c r="P61" s="28" t="n">
        <f aca="false">N61*M61</f>
        <v>360</v>
      </c>
      <c r="Q61" s="28" t="n">
        <f aca="false">IF(E61="Y",N61*IF(G61="",M61,G61),0)</f>
        <v>0</v>
      </c>
      <c r="R61" s="29" t="str">
        <f aca="false">IF(OR(F61="",L61=""),"",F61/L61)</f>
        <v/>
      </c>
    </row>
    <row r="62" customFormat="false" ht="15" hidden="false" customHeight="false" outlineLevel="0" collapsed="false">
      <c r="B62" s="22" t="n">
        <v>58</v>
      </c>
      <c r="C62" s="23" t="n">
        <f aca="false">'Weekly Plan'!$D$4+B62-1</f>
        <v>46385</v>
      </c>
      <c r="D62" s="24" t="s">
        <v>115</v>
      </c>
      <c r="E62" s="25"/>
      <c r="F62" s="25"/>
      <c r="G62" s="25"/>
      <c r="H62" s="26"/>
      <c r="I62" s="22" t="n">
        <v>9</v>
      </c>
      <c r="J62" s="14" t="s">
        <v>116</v>
      </c>
      <c r="K62" s="27" t="n">
        <f aca="false">ROUND(INDEX('Weekly Plan'!$E$9:$E$20,I62)*0.3,1)</f>
        <v>6.6</v>
      </c>
      <c r="L62" s="22"/>
      <c r="M62" s="22" t="n">
        <v>4</v>
      </c>
      <c r="N62" s="22" t="n">
        <f aca="false">ROUND(K62*'Weekly Plan'!$D$6,0)</f>
        <v>66</v>
      </c>
      <c r="O62" s="27" t="n">
        <f aca="false">IF(K62="","",IF(E62="Y",K62,0))</f>
        <v>0</v>
      </c>
      <c r="P62" s="28" t="n">
        <f aca="false">N62*M62</f>
        <v>264</v>
      </c>
      <c r="Q62" s="28" t="n">
        <f aca="false">IF(E62="Y",N62*IF(G62="",M62,G62),0)</f>
        <v>0</v>
      </c>
      <c r="R62" s="29" t="str">
        <f aca="false">IF(OR(F62="",L62=""),"",F62/L62)</f>
        <v/>
      </c>
    </row>
    <row r="63" customFormat="false" ht="23.85" hidden="false" customHeight="false" outlineLevel="0" collapsed="false">
      <c r="B63" s="22" t="n">
        <v>59</v>
      </c>
      <c r="C63" s="23" t="n">
        <f aca="false">'Weekly Plan'!$D$4+B63-1</f>
        <v>46386</v>
      </c>
      <c r="D63" s="24" t="s">
        <v>117</v>
      </c>
      <c r="E63" s="25"/>
      <c r="F63" s="25"/>
      <c r="G63" s="25"/>
      <c r="H63" s="26"/>
      <c r="I63" s="22" t="n">
        <v>9</v>
      </c>
      <c r="J63" s="14" t="s">
        <v>118</v>
      </c>
      <c r="K63" s="27"/>
      <c r="L63" s="22" t="n">
        <f aca="false">INDEX('Load Targets'!$H$7:$H$18,I63)</f>
        <v>90</v>
      </c>
      <c r="M63" s="22" t="n">
        <v>8</v>
      </c>
      <c r="N63" s="22" t="n">
        <v>45</v>
      </c>
      <c r="O63" s="27" t="str">
        <f aca="false">IF(K63="","",IF(E63="Y",K63,0))</f>
        <v/>
      </c>
      <c r="P63" s="28" t="n">
        <f aca="false">N63*M63</f>
        <v>360</v>
      </c>
      <c r="Q63" s="28" t="n">
        <f aca="false">IF(E63="Y",N63*IF(G63="",M63,G63),0)</f>
        <v>0</v>
      </c>
      <c r="R63" s="29" t="str">
        <f aca="false">IF(OR(F63="",L63=""),"",F63/L63)</f>
        <v/>
      </c>
    </row>
    <row r="64" customFormat="false" ht="23.85" hidden="false" customHeight="false" outlineLevel="0" collapsed="false">
      <c r="B64" s="22" t="n">
        <v>60</v>
      </c>
      <c r="C64" s="23" t="n">
        <f aca="false">'Weekly Plan'!$D$4+B64-1</f>
        <v>46387</v>
      </c>
      <c r="D64" s="24" t="s">
        <v>56</v>
      </c>
      <c r="E64" s="25"/>
      <c r="F64" s="25"/>
      <c r="G64" s="25"/>
      <c r="H64" s="26"/>
      <c r="I64" s="22" t="n">
        <v>9</v>
      </c>
      <c r="J64" s="14" t="str">
        <f aca="false">"Warm up, "&amp;'Weekly Plan'!F17&amp;", cool down"</f>
        <v>Warm up, Race pace 3 x 8 min, cool down</v>
      </c>
      <c r="K64" s="27" t="n">
        <f aca="false">ROUND(INDEX('Weekly Plan'!$E$9:$E$20,I64)*0.25,1)</f>
        <v>5.5</v>
      </c>
      <c r="L64" s="22"/>
      <c r="M64" s="22" t="n">
        <v>7</v>
      </c>
      <c r="N64" s="22" t="n">
        <f aca="false">ROUND(K64*'Weekly Plan'!$D$6,0)</f>
        <v>55</v>
      </c>
      <c r="O64" s="27" t="n">
        <f aca="false">IF(K64="","",IF(E64="Y",K64,0))</f>
        <v>0</v>
      </c>
      <c r="P64" s="28" t="n">
        <f aca="false">N64*M64</f>
        <v>385</v>
      </c>
      <c r="Q64" s="28" t="n">
        <f aca="false">IF(E64="Y",N64*IF(G64="",M64,G64),0)</f>
        <v>0</v>
      </c>
      <c r="R64" s="29" t="str">
        <f aca="false">IF(OR(F64="",L64=""),"",F64/L64)</f>
        <v/>
      </c>
    </row>
    <row r="65" customFormat="false" ht="15" hidden="false" customHeight="false" outlineLevel="0" collapsed="false">
      <c r="B65" s="22" t="n">
        <v>61</v>
      </c>
      <c r="C65" s="23" t="n">
        <f aca="false">'Weekly Plan'!$D$4+B65-1</f>
        <v>46388</v>
      </c>
      <c r="D65" s="24" t="s">
        <v>119</v>
      </c>
      <c r="E65" s="25"/>
      <c r="F65" s="25"/>
      <c r="G65" s="25"/>
      <c r="H65" s="26"/>
      <c r="I65" s="22" t="n">
        <v>9</v>
      </c>
      <c r="J65" s="14" t="s">
        <v>120</v>
      </c>
      <c r="K65" s="27"/>
      <c r="L65" s="22"/>
      <c r="M65" s="22" t="n">
        <v>2</v>
      </c>
      <c r="N65" s="22" t="n">
        <v>20</v>
      </c>
      <c r="O65" s="27" t="str">
        <f aca="false">IF(K65="","",IF(E65="Y",K65,0))</f>
        <v/>
      </c>
      <c r="P65" s="28" t="n">
        <f aca="false">N65*M65</f>
        <v>40</v>
      </c>
      <c r="Q65" s="28" t="n">
        <f aca="false">IF(E65="Y",N65*IF(G65="",M65,G65),0)</f>
        <v>0</v>
      </c>
      <c r="R65" s="29" t="str">
        <f aca="false">IF(OR(F65="",L65=""),"",F65/L65)</f>
        <v/>
      </c>
    </row>
    <row r="66" customFormat="false" ht="15" hidden="false" customHeight="false" outlineLevel="0" collapsed="false">
      <c r="B66" s="22" t="n">
        <v>62</v>
      </c>
      <c r="C66" s="23" t="n">
        <f aca="false">'Weekly Plan'!$D$4+B66-1</f>
        <v>46389</v>
      </c>
      <c r="D66" s="24" t="s">
        <v>121</v>
      </c>
      <c r="E66" s="25"/>
      <c r="F66" s="25"/>
      <c r="G66" s="25"/>
      <c r="H66" s="26"/>
      <c r="I66" s="22" t="n">
        <v>9</v>
      </c>
      <c r="J66" s="14" t="s">
        <v>122</v>
      </c>
      <c r="K66" s="27" t="n">
        <f aca="false">ROUND(INDEX('Weekly Plan'!$E$9:$E$20,I66)*0.45,1)</f>
        <v>9.9</v>
      </c>
      <c r="L66" s="22"/>
      <c r="M66" s="22" t="n">
        <v>5</v>
      </c>
      <c r="N66" s="22" t="n">
        <f aca="false">ROUND(K66*'Weekly Plan'!$D$6,0)</f>
        <v>99</v>
      </c>
      <c r="O66" s="27" t="n">
        <f aca="false">IF(K66="","",IF(E66="Y",K66,0))</f>
        <v>0</v>
      </c>
      <c r="P66" s="28" t="n">
        <f aca="false">N66*M66</f>
        <v>495</v>
      </c>
      <c r="Q66" s="28" t="n">
        <f aca="false">IF(E66="Y",N66*IF(G66="",M66,G66),0)</f>
        <v>0</v>
      </c>
      <c r="R66" s="29" t="str">
        <f aca="false">IF(OR(F66="",L66=""),"",F66/L66)</f>
        <v/>
      </c>
    </row>
    <row r="67" customFormat="false" ht="23.85" hidden="false" customHeight="false" outlineLevel="0" collapsed="false">
      <c r="B67" s="30" t="n">
        <v>63</v>
      </c>
      <c r="C67" s="31" t="n">
        <f aca="false">'Weekly Plan'!$D$4+B67-1</f>
        <v>46390</v>
      </c>
      <c r="D67" s="32" t="s">
        <v>123</v>
      </c>
      <c r="E67" s="33"/>
      <c r="F67" s="33"/>
      <c r="G67" s="33"/>
      <c r="H67" s="34"/>
      <c r="I67" s="30" t="n">
        <v>9</v>
      </c>
      <c r="J67" s="35" t="s">
        <v>124</v>
      </c>
      <c r="K67" s="36"/>
      <c r="L67" s="30" t="n">
        <f aca="false">ROUND(INDEX('Load Targets'!$H$7:$H$18,I67)*0.5/5,0)*5</f>
        <v>45</v>
      </c>
      <c r="M67" s="30" t="n">
        <v>4</v>
      </c>
      <c r="N67" s="30" t="n">
        <v>30</v>
      </c>
      <c r="O67" s="36" t="str">
        <f aca="false">IF(K67="","",IF(E67="Y",K67,0))</f>
        <v/>
      </c>
      <c r="P67" s="37" t="n">
        <f aca="false">N67*M67</f>
        <v>120</v>
      </c>
      <c r="Q67" s="37" t="n">
        <f aca="false">IF(E67="Y",N67*IF(G67="",M67,G67),0)</f>
        <v>0</v>
      </c>
      <c r="R67" s="38" t="str">
        <f aca="false">IF(OR(F67="",L67=""),"",F67/L67)</f>
        <v/>
      </c>
    </row>
    <row r="68" customFormat="false" ht="23.85" hidden="false" customHeight="false" outlineLevel="0" collapsed="false">
      <c r="B68" s="22" t="n">
        <v>64</v>
      </c>
      <c r="C68" s="23" t="n">
        <f aca="false">'Weekly Plan'!$D$4+B68-1</f>
        <v>46391</v>
      </c>
      <c r="D68" s="24" t="s">
        <v>113</v>
      </c>
      <c r="E68" s="25"/>
      <c r="F68" s="25"/>
      <c r="G68" s="25"/>
      <c r="H68" s="26"/>
      <c r="I68" s="22" t="n">
        <v>10</v>
      </c>
      <c r="J68" s="14" t="s">
        <v>114</v>
      </c>
      <c r="K68" s="27"/>
      <c r="L68" s="22" t="n">
        <f aca="false">INDEX('Load Targets'!$E$7:$E$18,I68)</f>
        <v>95</v>
      </c>
      <c r="M68" s="22" t="n">
        <v>8</v>
      </c>
      <c r="N68" s="22" t="n">
        <v>45</v>
      </c>
      <c r="O68" s="27" t="str">
        <f aca="false">IF(K68="","",IF(E68="Y",K68,0))</f>
        <v/>
      </c>
      <c r="P68" s="28" t="n">
        <f aca="false">N68*M68</f>
        <v>360</v>
      </c>
      <c r="Q68" s="28" t="n">
        <f aca="false">IF(E68="Y",N68*IF(G68="",M68,G68),0)</f>
        <v>0</v>
      </c>
      <c r="R68" s="29" t="str">
        <f aca="false">IF(OR(F68="",L68=""),"",F68/L68)</f>
        <v/>
      </c>
    </row>
    <row r="69" customFormat="false" ht="15" hidden="false" customHeight="false" outlineLevel="0" collapsed="false">
      <c r="B69" s="22" t="n">
        <v>65</v>
      </c>
      <c r="C69" s="23" t="n">
        <f aca="false">'Weekly Plan'!$D$4+B69-1</f>
        <v>46392</v>
      </c>
      <c r="D69" s="24" t="s">
        <v>115</v>
      </c>
      <c r="E69" s="25"/>
      <c r="F69" s="25"/>
      <c r="G69" s="25"/>
      <c r="H69" s="26"/>
      <c r="I69" s="22" t="n">
        <v>10</v>
      </c>
      <c r="J69" s="14" t="s">
        <v>116</v>
      </c>
      <c r="K69" s="27" t="n">
        <f aca="false">ROUND(INDEX('Weekly Plan'!$E$9:$E$20,I69)*0.3,1)</f>
        <v>6.6</v>
      </c>
      <c r="L69" s="22"/>
      <c r="M69" s="22" t="n">
        <v>4</v>
      </c>
      <c r="N69" s="22" t="n">
        <f aca="false">ROUND(K69*'Weekly Plan'!$D$6,0)</f>
        <v>66</v>
      </c>
      <c r="O69" s="27" t="n">
        <f aca="false">IF(K69="","",IF(E69="Y",K69,0))</f>
        <v>0</v>
      </c>
      <c r="P69" s="28" t="n">
        <f aca="false">N69*M69</f>
        <v>264</v>
      </c>
      <c r="Q69" s="28" t="n">
        <f aca="false">IF(E69="Y",N69*IF(G69="",M69,G69),0)</f>
        <v>0</v>
      </c>
      <c r="R69" s="29" t="str">
        <f aca="false">IF(OR(F69="",L69=""),"",F69/L69)</f>
        <v/>
      </c>
    </row>
    <row r="70" customFormat="false" ht="23.85" hidden="false" customHeight="false" outlineLevel="0" collapsed="false">
      <c r="B70" s="22" t="n">
        <v>66</v>
      </c>
      <c r="C70" s="23" t="n">
        <f aca="false">'Weekly Plan'!$D$4+B70-1</f>
        <v>46393</v>
      </c>
      <c r="D70" s="24" t="s">
        <v>117</v>
      </c>
      <c r="E70" s="25"/>
      <c r="F70" s="25"/>
      <c r="G70" s="25"/>
      <c r="H70" s="26"/>
      <c r="I70" s="22" t="n">
        <v>10</v>
      </c>
      <c r="J70" s="14" t="s">
        <v>118</v>
      </c>
      <c r="K70" s="27"/>
      <c r="L70" s="22" t="n">
        <f aca="false">INDEX('Load Targets'!$H$7:$H$18,I70)</f>
        <v>95</v>
      </c>
      <c r="M70" s="22" t="n">
        <v>8</v>
      </c>
      <c r="N70" s="22" t="n">
        <v>45</v>
      </c>
      <c r="O70" s="27" t="str">
        <f aca="false">IF(K70="","",IF(E70="Y",K70,0))</f>
        <v/>
      </c>
      <c r="P70" s="28" t="n">
        <f aca="false">N70*M70</f>
        <v>360</v>
      </c>
      <c r="Q70" s="28" t="n">
        <f aca="false">IF(E70="Y",N70*IF(G70="",M70,G70),0)</f>
        <v>0</v>
      </c>
      <c r="R70" s="29" t="str">
        <f aca="false">IF(OR(F70="",L70=""),"",F70/L70)</f>
        <v/>
      </c>
    </row>
    <row r="71" customFormat="false" ht="23.85" hidden="false" customHeight="false" outlineLevel="0" collapsed="false">
      <c r="B71" s="22" t="n">
        <v>67</v>
      </c>
      <c r="C71" s="23" t="n">
        <f aca="false">'Weekly Plan'!$D$4+B71-1</f>
        <v>46394</v>
      </c>
      <c r="D71" s="24" t="s">
        <v>56</v>
      </c>
      <c r="E71" s="25"/>
      <c r="F71" s="25"/>
      <c r="G71" s="25"/>
      <c r="H71" s="26"/>
      <c r="I71" s="22" t="n">
        <v>10</v>
      </c>
      <c r="J71" s="14" t="str">
        <f aca="false">"Warm up, "&amp;'Weekly Plan'!F18&amp;", cool down"</f>
        <v>Warm up, Race pace 3 x 10 min, cool down</v>
      </c>
      <c r="K71" s="27" t="n">
        <f aca="false">ROUND(INDEX('Weekly Plan'!$E$9:$E$20,I71)*0.25,1)</f>
        <v>5.5</v>
      </c>
      <c r="L71" s="22"/>
      <c r="M71" s="22" t="n">
        <v>7</v>
      </c>
      <c r="N71" s="22" t="n">
        <f aca="false">ROUND(K71*'Weekly Plan'!$D$6,0)</f>
        <v>55</v>
      </c>
      <c r="O71" s="27" t="n">
        <f aca="false">IF(K71="","",IF(E71="Y",K71,0))</f>
        <v>0</v>
      </c>
      <c r="P71" s="28" t="n">
        <f aca="false">N71*M71</f>
        <v>385</v>
      </c>
      <c r="Q71" s="28" t="n">
        <f aca="false">IF(E71="Y",N71*IF(G71="",M71,G71),0)</f>
        <v>0</v>
      </c>
      <c r="R71" s="29" t="str">
        <f aca="false">IF(OR(F71="",L71=""),"",F71/L71)</f>
        <v/>
      </c>
    </row>
    <row r="72" customFormat="false" ht="15" hidden="false" customHeight="false" outlineLevel="0" collapsed="false">
      <c r="B72" s="22" t="n">
        <v>68</v>
      </c>
      <c r="C72" s="23" t="n">
        <f aca="false">'Weekly Plan'!$D$4+B72-1</f>
        <v>46395</v>
      </c>
      <c r="D72" s="24" t="s">
        <v>119</v>
      </c>
      <c r="E72" s="25"/>
      <c r="F72" s="25"/>
      <c r="G72" s="25"/>
      <c r="H72" s="26"/>
      <c r="I72" s="22" t="n">
        <v>10</v>
      </c>
      <c r="J72" s="14" t="s">
        <v>120</v>
      </c>
      <c r="K72" s="27"/>
      <c r="L72" s="22"/>
      <c r="M72" s="22" t="n">
        <v>2</v>
      </c>
      <c r="N72" s="22" t="n">
        <v>20</v>
      </c>
      <c r="O72" s="27" t="str">
        <f aca="false">IF(K72="","",IF(E72="Y",K72,0))</f>
        <v/>
      </c>
      <c r="P72" s="28" t="n">
        <f aca="false">N72*M72</f>
        <v>40</v>
      </c>
      <c r="Q72" s="28" t="n">
        <f aca="false">IF(E72="Y",N72*IF(G72="",M72,G72),0)</f>
        <v>0</v>
      </c>
      <c r="R72" s="29" t="str">
        <f aca="false">IF(OR(F72="",L72=""),"",F72/L72)</f>
        <v/>
      </c>
    </row>
    <row r="73" customFormat="false" ht="15" hidden="false" customHeight="false" outlineLevel="0" collapsed="false">
      <c r="B73" s="22" t="n">
        <v>69</v>
      </c>
      <c r="C73" s="23" t="n">
        <f aca="false">'Weekly Plan'!$D$4+B73-1</f>
        <v>46396</v>
      </c>
      <c r="D73" s="24" t="s">
        <v>121</v>
      </c>
      <c r="E73" s="25"/>
      <c r="F73" s="25"/>
      <c r="G73" s="25"/>
      <c r="H73" s="26"/>
      <c r="I73" s="22" t="n">
        <v>10</v>
      </c>
      <c r="J73" s="14" t="s">
        <v>122</v>
      </c>
      <c r="K73" s="27" t="n">
        <f aca="false">ROUND(INDEX('Weekly Plan'!$E$9:$E$20,I73)*0.45,1)</f>
        <v>9.9</v>
      </c>
      <c r="L73" s="22"/>
      <c r="M73" s="22" t="n">
        <v>5</v>
      </c>
      <c r="N73" s="22" t="n">
        <f aca="false">ROUND(K73*'Weekly Plan'!$D$6,0)</f>
        <v>99</v>
      </c>
      <c r="O73" s="27" t="n">
        <f aca="false">IF(K73="","",IF(E73="Y",K73,0))</f>
        <v>0</v>
      </c>
      <c r="P73" s="28" t="n">
        <f aca="false">N73*M73</f>
        <v>495</v>
      </c>
      <c r="Q73" s="28" t="n">
        <f aca="false">IF(E73="Y",N73*IF(G73="",M73,G73),0)</f>
        <v>0</v>
      </c>
      <c r="R73" s="29" t="str">
        <f aca="false">IF(OR(F73="",L73=""),"",F73/L73)</f>
        <v/>
      </c>
    </row>
    <row r="74" customFormat="false" ht="23.85" hidden="false" customHeight="false" outlineLevel="0" collapsed="false">
      <c r="B74" s="30" t="n">
        <v>70</v>
      </c>
      <c r="C74" s="31" t="n">
        <f aca="false">'Weekly Plan'!$D$4+B74-1</f>
        <v>46397</v>
      </c>
      <c r="D74" s="32" t="s">
        <v>123</v>
      </c>
      <c r="E74" s="33"/>
      <c r="F74" s="33"/>
      <c r="G74" s="33"/>
      <c r="H74" s="34"/>
      <c r="I74" s="30" t="n">
        <v>10</v>
      </c>
      <c r="J74" s="35" t="s">
        <v>124</v>
      </c>
      <c r="K74" s="36"/>
      <c r="L74" s="30" t="n">
        <f aca="false">ROUND(INDEX('Load Targets'!$H$7:$H$18,I74)*0.5/5,0)*5</f>
        <v>50</v>
      </c>
      <c r="M74" s="30" t="n">
        <v>4</v>
      </c>
      <c r="N74" s="30" t="n">
        <v>30</v>
      </c>
      <c r="O74" s="36" t="str">
        <f aca="false">IF(K74="","",IF(E74="Y",K74,0))</f>
        <v/>
      </c>
      <c r="P74" s="37" t="n">
        <f aca="false">N74*M74</f>
        <v>120</v>
      </c>
      <c r="Q74" s="37" t="n">
        <f aca="false">IF(E74="Y",N74*IF(G74="",M74,G74),0)</f>
        <v>0</v>
      </c>
      <c r="R74" s="38" t="str">
        <f aca="false">IF(OR(F74="",L74=""),"",F74/L74)</f>
        <v/>
      </c>
    </row>
    <row r="75" customFormat="false" ht="23.85" hidden="false" customHeight="false" outlineLevel="0" collapsed="false">
      <c r="B75" s="22" t="n">
        <v>71</v>
      </c>
      <c r="C75" s="23" t="n">
        <f aca="false">'Weekly Plan'!$D$4+B75-1</f>
        <v>46398</v>
      </c>
      <c r="D75" s="24" t="s">
        <v>113</v>
      </c>
      <c r="E75" s="25"/>
      <c r="F75" s="25"/>
      <c r="G75" s="25"/>
      <c r="H75" s="26"/>
      <c r="I75" s="22" t="n">
        <v>11</v>
      </c>
      <c r="J75" s="14" t="s">
        <v>114</v>
      </c>
      <c r="K75" s="27"/>
      <c r="L75" s="22" t="n">
        <f aca="false">INDEX('Load Targets'!$E$7:$E$18,I75)</f>
        <v>100</v>
      </c>
      <c r="M75" s="22" t="n">
        <v>8</v>
      </c>
      <c r="N75" s="22" t="n">
        <v>45</v>
      </c>
      <c r="O75" s="27" t="str">
        <f aca="false">IF(K75="","",IF(E75="Y",K75,0))</f>
        <v/>
      </c>
      <c r="P75" s="28" t="n">
        <f aca="false">N75*M75</f>
        <v>360</v>
      </c>
      <c r="Q75" s="28" t="n">
        <f aca="false">IF(E75="Y",N75*IF(G75="",M75,G75),0)</f>
        <v>0</v>
      </c>
      <c r="R75" s="29" t="str">
        <f aca="false">IF(OR(F75="",L75=""),"",F75/L75)</f>
        <v/>
      </c>
    </row>
    <row r="76" customFormat="false" ht="15" hidden="false" customHeight="false" outlineLevel="0" collapsed="false">
      <c r="B76" s="22" t="n">
        <v>72</v>
      </c>
      <c r="C76" s="23" t="n">
        <f aca="false">'Weekly Plan'!$D$4+B76-1</f>
        <v>46399</v>
      </c>
      <c r="D76" s="24" t="s">
        <v>115</v>
      </c>
      <c r="E76" s="25"/>
      <c r="F76" s="25"/>
      <c r="G76" s="25"/>
      <c r="H76" s="26"/>
      <c r="I76" s="22" t="n">
        <v>11</v>
      </c>
      <c r="J76" s="14" t="s">
        <v>116</v>
      </c>
      <c r="K76" s="27" t="n">
        <f aca="false">ROUND(INDEX('Weekly Plan'!$E$9:$E$20,I76)*0.3,1)</f>
        <v>6.6</v>
      </c>
      <c r="L76" s="22"/>
      <c r="M76" s="22" t="n">
        <v>4</v>
      </c>
      <c r="N76" s="22" t="n">
        <f aca="false">ROUND(K76*'Weekly Plan'!$D$6,0)</f>
        <v>66</v>
      </c>
      <c r="O76" s="27" t="n">
        <f aca="false">IF(K76="","",IF(E76="Y",K76,0))</f>
        <v>0</v>
      </c>
      <c r="P76" s="28" t="n">
        <f aca="false">N76*M76</f>
        <v>264</v>
      </c>
      <c r="Q76" s="28" t="n">
        <f aca="false">IF(E76="Y",N76*IF(G76="",M76,G76),0)</f>
        <v>0</v>
      </c>
      <c r="R76" s="29" t="str">
        <f aca="false">IF(OR(F76="",L76=""),"",F76/L76)</f>
        <v/>
      </c>
    </row>
    <row r="77" customFormat="false" ht="23.85" hidden="false" customHeight="false" outlineLevel="0" collapsed="false">
      <c r="B77" s="22" t="n">
        <v>73</v>
      </c>
      <c r="C77" s="23" t="n">
        <f aca="false">'Weekly Plan'!$D$4+B77-1</f>
        <v>46400</v>
      </c>
      <c r="D77" s="24" t="s">
        <v>117</v>
      </c>
      <c r="E77" s="25"/>
      <c r="F77" s="25"/>
      <c r="G77" s="25"/>
      <c r="H77" s="26"/>
      <c r="I77" s="22" t="n">
        <v>11</v>
      </c>
      <c r="J77" s="14" t="s">
        <v>118</v>
      </c>
      <c r="K77" s="27"/>
      <c r="L77" s="22" t="n">
        <f aca="false">INDEX('Load Targets'!$H$7:$H$18,I77)</f>
        <v>100</v>
      </c>
      <c r="M77" s="22" t="n">
        <v>8</v>
      </c>
      <c r="N77" s="22" t="n">
        <v>45</v>
      </c>
      <c r="O77" s="27" t="str">
        <f aca="false">IF(K77="","",IF(E77="Y",K77,0))</f>
        <v/>
      </c>
      <c r="P77" s="28" t="n">
        <f aca="false">N77*M77</f>
        <v>360</v>
      </c>
      <c r="Q77" s="28" t="n">
        <f aca="false">IF(E77="Y",N77*IF(G77="",M77,G77),0)</f>
        <v>0</v>
      </c>
      <c r="R77" s="29" t="str">
        <f aca="false">IF(OR(F77="",L77=""),"",F77/L77)</f>
        <v/>
      </c>
    </row>
    <row r="78" customFormat="false" ht="23.85" hidden="false" customHeight="false" outlineLevel="0" collapsed="false">
      <c r="B78" s="22" t="n">
        <v>74</v>
      </c>
      <c r="C78" s="23" t="n">
        <f aca="false">'Weekly Plan'!$D$4+B78-1</f>
        <v>46401</v>
      </c>
      <c r="D78" s="24" t="s">
        <v>56</v>
      </c>
      <c r="E78" s="25"/>
      <c r="F78" s="25"/>
      <c r="G78" s="25"/>
      <c r="H78" s="26"/>
      <c r="I78" s="22" t="n">
        <v>11</v>
      </c>
      <c r="J78" s="14" t="str">
        <f aca="false">"Warm up, "&amp;'Weekly Plan'!F19&amp;", cool down"</f>
        <v>Warm up, Race pace 2 x 15 min, cool down</v>
      </c>
      <c r="K78" s="27" t="n">
        <f aca="false">ROUND(INDEX('Weekly Plan'!$E$9:$E$20,I78)*0.25,1)</f>
        <v>5.5</v>
      </c>
      <c r="L78" s="22"/>
      <c r="M78" s="22" t="n">
        <v>7</v>
      </c>
      <c r="N78" s="22" t="n">
        <f aca="false">ROUND(K78*'Weekly Plan'!$D$6,0)</f>
        <v>55</v>
      </c>
      <c r="O78" s="27" t="n">
        <f aca="false">IF(K78="","",IF(E78="Y",K78,0))</f>
        <v>0</v>
      </c>
      <c r="P78" s="28" t="n">
        <f aca="false">N78*M78</f>
        <v>385</v>
      </c>
      <c r="Q78" s="28" t="n">
        <f aca="false">IF(E78="Y",N78*IF(G78="",M78,G78),0)</f>
        <v>0</v>
      </c>
      <c r="R78" s="29" t="str">
        <f aca="false">IF(OR(F78="",L78=""),"",F78/L78)</f>
        <v/>
      </c>
    </row>
    <row r="79" customFormat="false" ht="15" hidden="false" customHeight="false" outlineLevel="0" collapsed="false">
      <c r="B79" s="22" t="n">
        <v>75</v>
      </c>
      <c r="C79" s="23" t="n">
        <f aca="false">'Weekly Plan'!$D$4+B79-1</f>
        <v>46402</v>
      </c>
      <c r="D79" s="24" t="s">
        <v>119</v>
      </c>
      <c r="E79" s="25"/>
      <c r="F79" s="25"/>
      <c r="G79" s="25"/>
      <c r="H79" s="26"/>
      <c r="I79" s="22" t="n">
        <v>11</v>
      </c>
      <c r="J79" s="14" t="s">
        <v>120</v>
      </c>
      <c r="K79" s="27"/>
      <c r="L79" s="22"/>
      <c r="M79" s="22" t="n">
        <v>2</v>
      </c>
      <c r="N79" s="22" t="n">
        <v>20</v>
      </c>
      <c r="O79" s="27" t="str">
        <f aca="false">IF(K79="","",IF(E79="Y",K79,0))</f>
        <v/>
      </c>
      <c r="P79" s="28" t="n">
        <f aca="false">N79*M79</f>
        <v>40</v>
      </c>
      <c r="Q79" s="28" t="n">
        <f aca="false">IF(E79="Y",N79*IF(G79="",M79,G79),0)</f>
        <v>0</v>
      </c>
      <c r="R79" s="29" t="str">
        <f aca="false">IF(OR(F79="",L79=""),"",F79/L79)</f>
        <v/>
      </c>
    </row>
    <row r="80" customFormat="false" ht="15" hidden="false" customHeight="false" outlineLevel="0" collapsed="false">
      <c r="B80" s="22" t="n">
        <v>76</v>
      </c>
      <c r="C80" s="23" t="n">
        <f aca="false">'Weekly Plan'!$D$4+B80-1</f>
        <v>46403</v>
      </c>
      <c r="D80" s="24" t="s">
        <v>121</v>
      </c>
      <c r="E80" s="25"/>
      <c r="F80" s="25"/>
      <c r="G80" s="25"/>
      <c r="H80" s="26"/>
      <c r="I80" s="22" t="n">
        <v>11</v>
      </c>
      <c r="J80" s="14" t="s">
        <v>122</v>
      </c>
      <c r="K80" s="27" t="n">
        <f aca="false">ROUND(INDEX('Weekly Plan'!$E$9:$E$20,I80)*0.45,1)</f>
        <v>9.9</v>
      </c>
      <c r="L80" s="22"/>
      <c r="M80" s="22" t="n">
        <v>5</v>
      </c>
      <c r="N80" s="22" t="n">
        <f aca="false">ROUND(K80*'Weekly Plan'!$D$6,0)</f>
        <v>99</v>
      </c>
      <c r="O80" s="27" t="n">
        <f aca="false">IF(K80="","",IF(E80="Y",K80,0))</f>
        <v>0</v>
      </c>
      <c r="P80" s="28" t="n">
        <f aca="false">N80*M80</f>
        <v>495</v>
      </c>
      <c r="Q80" s="28" t="n">
        <f aca="false">IF(E80="Y",N80*IF(G80="",M80,G80),0)</f>
        <v>0</v>
      </c>
      <c r="R80" s="29" t="str">
        <f aca="false">IF(OR(F80="",L80=""),"",F80/L80)</f>
        <v/>
      </c>
    </row>
    <row r="81" customFormat="false" ht="23.85" hidden="false" customHeight="false" outlineLevel="0" collapsed="false">
      <c r="B81" s="30" t="n">
        <v>77</v>
      </c>
      <c r="C81" s="31" t="n">
        <f aca="false">'Weekly Plan'!$D$4+B81-1</f>
        <v>46404</v>
      </c>
      <c r="D81" s="32" t="s">
        <v>123</v>
      </c>
      <c r="E81" s="33"/>
      <c r="F81" s="33"/>
      <c r="G81" s="33"/>
      <c r="H81" s="34"/>
      <c r="I81" s="30" t="n">
        <v>11</v>
      </c>
      <c r="J81" s="35" t="s">
        <v>124</v>
      </c>
      <c r="K81" s="36"/>
      <c r="L81" s="30" t="n">
        <f aca="false">ROUND(INDEX('Load Targets'!$H$7:$H$18,I81)*0.5/5,0)*5</f>
        <v>50</v>
      </c>
      <c r="M81" s="30" t="n">
        <v>4</v>
      </c>
      <c r="N81" s="30" t="n">
        <v>30</v>
      </c>
      <c r="O81" s="36" t="str">
        <f aca="false">IF(K81="","",IF(E81="Y",K81,0))</f>
        <v/>
      </c>
      <c r="P81" s="37" t="n">
        <f aca="false">N81*M81</f>
        <v>120</v>
      </c>
      <c r="Q81" s="37" t="n">
        <f aca="false">IF(E81="Y",N81*IF(G81="",M81,G81),0)</f>
        <v>0</v>
      </c>
      <c r="R81" s="38" t="str">
        <f aca="false">IF(OR(F81="",L81=""),"",F81/L81)</f>
        <v/>
      </c>
    </row>
    <row r="82" customFormat="false" ht="23.85" hidden="false" customHeight="false" outlineLevel="0" collapsed="false">
      <c r="B82" s="22" t="n">
        <v>78</v>
      </c>
      <c r="C82" s="23" t="n">
        <f aca="false">'Weekly Plan'!$D$4+B82-1</f>
        <v>46405</v>
      </c>
      <c r="D82" s="24" t="s">
        <v>113</v>
      </c>
      <c r="E82" s="25"/>
      <c r="F82" s="25"/>
      <c r="G82" s="25"/>
      <c r="H82" s="26"/>
      <c r="I82" s="22" t="n">
        <v>12</v>
      </c>
      <c r="J82" s="14" t="s">
        <v>114</v>
      </c>
      <c r="K82" s="27"/>
      <c r="L82" s="22" t="n">
        <f aca="false">INDEX('Load Targets'!$E$7:$E$18,I82)</f>
        <v>80</v>
      </c>
      <c r="M82" s="22" t="n">
        <v>7</v>
      </c>
      <c r="N82" s="22" t="n">
        <v>45</v>
      </c>
      <c r="O82" s="27" t="str">
        <f aca="false">IF(K82="","",IF(E82="Y",K82,0))</f>
        <v/>
      </c>
      <c r="P82" s="28" t="n">
        <f aca="false">N82*M82</f>
        <v>315</v>
      </c>
      <c r="Q82" s="28" t="n">
        <f aca="false">IF(E82="Y",N82*IF(G82="",M82,G82),0)</f>
        <v>0</v>
      </c>
      <c r="R82" s="29" t="str">
        <f aca="false">IF(OR(F82="",L82=""),"",F82/L82)</f>
        <v/>
      </c>
    </row>
    <row r="83" customFormat="false" ht="15" hidden="false" customHeight="false" outlineLevel="0" collapsed="false">
      <c r="B83" s="22" t="n">
        <v>79</v>
      </c>
      <c r="C83" s="23" t="n">
        <f aca="false">'Weekly Plan'!$D$4+B83-1</f>
        <v>46406</v>
      </c>
      <c r="D83" s="24" t="s">
        <v>115</v>
      </c>
      <c r="E83" s="25"/>
      <c r="F83" s="25"/>
      <c r="G83" s="25"/>
      <c r="H83" s="26"/>
      <c r="I83" s="22" t="n">
        <v>12</v>
      </c>
      <c r="J83" s="14" t="s">
        <v>116</v>
      </c>
      <c r="K83" s="27" t="n">
        <f aca="false">ROUND(INDEX('Weekly Plan'!$E$9:$E$20,I83)*0.3,1)</f>
        <v>2.6</v>
      </c>
      <c r="L83" s="22"/>
      <c r="M83" s="22" t="n">
        <v>4</v>
      </c>
      <c r="N83" s="22" t="n">
        <f aca="false">ROUND(K83*'Weekly Plan'!$D$6,0)</f>
        <v>26</v>
      </c>
      <c r="O83" s="27" t="n">
        <f aca="false">IF(K83="","",IF(E83="Y",K83,0))</f>
        <v>0</v>
      </c>
      <c r="P83" s="28" t="n">
        <f aca="false">N83*M83</f>
        <v>104</v>
      </c>
      <c r="Q83" s="28" t="n">
        <f aca="false">IF(E83="Y",N83*IF(G83="",M83,G83),0)</f>
        <v>0</v>
      </c>
      <c r="R83" s="29" t="str">
        <f aca="false">IF(OR(F83="",L83=""),"",F83/L83)</f>
        <v/>
      </c>
    </row>
    <row r="84" customFormat="false" ht="15" hidden="false" customHeight="false" outlineLevel="0" collapsed="false">
      <c r="B84" s="22" t="n">
        <v>80</v>
      </c>
      <c r="C84" s="23" t="n">
        <f aca="false">'Weekly Plan'!$D$4+B84-1</f>
        <v>46407</v>
      </c>
      <c r="D84" s="24" t="s">
        <v>125</v>
      </c>
      <c r="E84" s="25"/>
      <c r="F84" s="25"/>
      <c r="G84" s="25"/>
      <c r="H84" s="26"/>
      <c r="I84" s="22" t="n">
        <v>12</v>
      </c>
      <c r="J84" s="14" t="s">
        <v>126</v>
      </c>
      <c r="K84" s="27"/>
      <c r="L84" s="22" t="n">
        <f aca="false">INDEX('Load Targets'!$H$7:$H$18,I84)</f>
        <v>70</v>
      </c>
      <c r="M84" s="22" t="n">
        <v>5</v>
      </c>
      <c r="N84" s="22" t="n">
        <v>35</v>
      </c>
      <c r="O84" s="27" t="str">
        <f aca="false">IF(K84="","",IF(E84="Y",K84,0))</f>
        <v/>
      </c>
      <c r="P84" s="28" t="n">
        <f aca="false">N84*M84</f>
        <v>175</v>
      </c>
      <c r="Q84" s="28" t="n">
        <f aca="false">IF(E84="Y",N84*IF(G84="",M84,G84),0)</f>
        <v>0</v>
      </c>
      <c r="R84" s="29" t="str">
        <f aca="false">IF(OR(F84="",L84=""),"",F84/L84)</f>
        <v/>
      </c>
    </row>
    <row r="85" customFormat="false" ht="23.85" hidden="false" customHeight="false" outlineLevel="0" collapsed="false">
      <c r="B85" s="22" t="n">
        <v>81</v>
      </c>
      <c r="C85" s="23" t="n">
        <f aca="false">'Weekly Plan'!$D$4+B85-1</f>
        <v>46408</v>
      </c>
      <c r="D85" s="24" t="s">
        <v>56</v>
      </c>
      <c r="E85" s="25"/>
      <c r="F85" s="25"/>
      <c r="G85" s="25"/>
      <c r="H85" s="26"/>
      <c r="I85" s="22" t="n">
        <v>12</v>
      </c>
      <c r="J85" s="14" t="str">
        <f aca="false">"Warm up, "&amp;'Weekly Plan'!F20&amp;", cool down"</f>
        <v>Warm up, Sharpener 4 x 1 min, cool down</v>
      </c>
      <c r="K85" s="27" t="n">
        <f aca="false">ROUND(INDEX('Weekly Plan'!$E$9:$E$20,I85)*0.25,1)</f>
        <v>2.2</v>
      </c>
      <c r="L85" s="22"/>
      <c r="M85" s="22" t="n">
        <v>7</v>
      </c>
      <c r="N85" s="22" t="n">
        <f aca="false">ROUND(K85*'Weekly Plan'!$D$6,0)</f>
        <v>22</v>
      </c>
      <c r="O85" s="27" t="n">
        <f aca="false">IF(K85="","",IF(E85="Y",K85,0))</f>
        <v>0</v>
      </c>
      <c r="P85" s="28" t="n">
        <f aca="false">N85*M85</f>
        <v>154</v>
      </c>
      <c r="Q85" s="28" t="n">
        <f aca="false">IF(E85="Y",N85*IF(G85="",M85,G85),0)</f>
        <v>0</v>
      </c>
      <c r="R85" s="29" t="str">
        <f aca="false">IF(OR(F85="",L85=""),"",F85/L85)</f>
        <v/>
      </c>
    </row>
    <row r="86" customFormat="false" ht="15" hidden="false" customHeight="false" outlineLevel="0" collapsed="false">
      <c r="B86" s="22" t="n">
        <v>82</v>
      </c>
      <c r="C86" s="23" t="n">
        <f aca="false">'Weekly Plan'!$D$4+B86-1</f>
        <v>46409</v>
      </c>
      <c r="D86" s="24" t="s">
        <v>119</v>
      </c>
      <c r="E86" s="25"/>
      <c r="F86" s="25"/>
      <c r="G86" s="25"/>
      <c r="H86" s="26"/>
      <c r="I86" s="22" t="n">
        <v>12</v>
      </c>
      <c r="J86" s="14" t="s">
        <v>120</v>
      </c>
      <c r="K86" s="27"/>
      <c r="L86" s="22"/>
      <c r="M86" s="22" t="n">
        <v>2</v>
      </c>
      <c r="N86" s="22" t="n">
        <v>20</v>
      </c>
      <c r="O86" s="27" t="str">
        <f aca="false">IF(K86="","",IF(E86="Y",K86,0))</f>
        <v/>
      </c>
      <c r="P86" s="28" t="n">
        <f aca="false">N86*M86</f>
        <v>40</v>
      </c>
      <c r="Q86" s="28" t="n">
        <f aca="false">IF(E86="Y",N86*IF(G86="",M86,G86),0)</f>
        <v>0</v>
      </c>
      <c r="R86" s="29" t="str">
        <f aca="false">IF(OR(F86="",L86=""),"",F86/L86)</f>
        <v/>
      </c>
    </row>
    <row r="87" customFormat="false" ht="15" hidden="false" customHeight="false" outlineLevel="0" collapsed="false">
      <c r="B87" s="22" t="n">
        <v>83</v>
      </c>
      <c r="C87" s="23" t="n">
        <f aca="false">'Weekly Plan'!$D$4+B87-1</f>
        <v>46410</v>
      </c>
      <c r="D87" s="24" t="s">
        <v>129</v>
      </c>
      <c r="E87" s="25"/>
      <c r="F87" s="25"/>
      <c r="G87" s="25"/>
      <c r="H87" s="26"/>
      <c r="I87" s="22" t="n">
        <v>12</v>
      </c>
      <c r="J87" s="14" t="s">
        <v>130</v>
      </c>
      <c r="K87" s="27" t="n">
        <f aca="false">ROUND(INDEX('Weekly Plan'!$E$9:$E$20,I87)*0.45,1)</f>
        <v>4</v>
      </c>
      <c r="L87" s="22"/>
      <c r="M87" s="22" t="n">
        <v>9</v>
      </c>
      <c r="N87" s="22" t="n">
        <f aca="false">ROUND(K87*'Weekly Plan'!$D$6,0)</f>
        <v>40</v>
      </c>
      <c r="O87" s="27" t="n">
        <f aca="false">IF(K87="","",IF(E87="Y",K87,0))</f>
        <v>0</v>
      </c>
      <c r="P87" s="28" t="n">
        <f aca="false">N87*M87</f>
        <v>360</v>
      </c>
      <c r="Q87" s="28" t="n">
        <f aca="false">IF(E87="Y",N87*IF(G87="",M87,G87),0)</f>
        <v>0</v>
      </c>
      <c r="R87" s="29" t="str">
        <f aca="false">IF(OR(F87="",L87=""),"",F87/L87)</f>
        <v/>
      </c>
    </row>
    <row r="88" customFormat="false" ht="15" hidden="false" customHeight="false" outlineLevel="0" collapsed="false">
      <c r="B88" s="30" t="n">
        <v>84</v>
      </c>
      <c r="C88" s="31" t="n">
        <f aca="false">'Weekly Plan'!$D$4+B88-1</f>
        <v>46411</v>
      </c>
      <c r="D88" s="32" t="s">
        <v>131</v>
      </c>
      <c r="E88" s="33"/>
      <c r="F88" s="33"/>
      <c r="G88" s="33"/>
      <c r="H88" s="34"/>
      <c r="I88" s="30" t="n">
        <v>12</v>
      </c>
      <c r="J88" s="35" t="s">
        <v>132</v>
      </c>
      <c r="K88" s="36"/>
      <c r="L88" s="30"/>
      <c r="M88" s="30" t="n">
        <v>0</v>
      </c>
      <c r="N88" s="30" t="n">
        <v>0</v>
      </c>
      <c r="O88" s="36" t="str">
        <f aca="false">IF(K88="","",IF(E88="Y",K88,0))</f>
        <v/>
      </c>
      <c r="P88" s="37" t="n">
        <f aca="false">N88*M88</f>
        <v>0</v>
      </c>
      <c r="Q88" s="37" t="n">
        <f aca="false">IF(E88="Y",N88*IF(G88="",M88,G88),0)</f>
        <v>0</v>
      </c>
      <c r="R88" s="38" t="str">
        <f aca="false">IF(OR(F88="",L88=""),"",F88/L88)</f>
        <v/>
      </c>
    </row>
    <row r="90" customFormat="false" ht="27.75" hidden="false" customHeight="true" outlineLevel="0" collapsed="false">
      <c r="B90" s="21" t="s">
        <v>133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</sheetData>
  <autoFilter ref="B4:R88"/>
  <mergeCells count="1">
    <mergeCell ref="B90:R90"/>
  </mergeCells>
  <conditionalFormatting sqref="E5:E88">
    <cfRule type="cellIs" priority="2" operator="equal" aboveAverage="0" equalAverage="0" bottom="0" percent="0" rank="0" text="" dxfId="4">
      <formula>"N"</formula>
    </cfRule>
    <cfRule type="cellIs" priority="3" operator="equal" aboveAverage="0" equalAverage="0" bottom="0" percent="0" rank="0" text="" dxfId="5">
      <formula>"Y"</formula>
    </cfRule>
  </conditionalFormatting>
  <dataValidations count="2">
    <dataValidation allowBlank="true" errorStyle="stop" operator="between" prompt="Y if done, N if missed" promptTitle="Completed?" showDropDown="false" showErrorMessage="false" showInputMessage="false" sqref="E5:E88" type="list">
      <formula1>"Y,N"</formula1>
      <formula2>0</formula2>
    </dataValidation>
    <dataValidation allowBlank="true" error="Enter 1-10" errorStyle="stop" operator="between" showDropDown="false" showErrorMessage="false" showInputMessage="false" sqref="G5:G88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42"/>
    <col collapsed="false" customWidth="true" hidden="false" outlineLevel="0" max="4" min="4" style="0" width="52"/>
  </cols>
  <sheetData>
    <row r="2" customFormat="false" ht="19.7" hidden="false" customHeight="false" outlineLevel="0" collapsed="false">
      <c r="B2" s="7" t="s">
        <v>40</v>
      </c>
    </row>
    <row r="3" customFormat="false" ht="15" hidden="false" customHeight="false" outlineLevel="0" collapsed="false">
      <c r="B3" s="8" t="s">
        <v>134</v>
      </c>
    </row>
    <row r="5" customFormat="false" ht="15" hidden="false" customHeight="false" outlineLevel="0" collapsed="false">
      <c r="B5" s="12" t="s">
        <v>135</v>
      </c>
      <c r="C5" s="12" t="s">
        <v>136</v>
      </c>
      <c r="D5" s="12" t="s">
        <v>137</v>
      </c>
    </row>
    <row r="6" customFormat="false" ht="23.85" hidden="false" customHeight="false" outlineLevel="0" collapsed="false">
      <c r="B6" s="39" t="s">
        <v>138</v>
      </c>
      <c r="C6" s="40" t="s">
        <v>139</v>
      </c>
      <c r="D6" s="40" t="s">
        <v>140</v>
      </c>
    </row>
    <row r="7" customFormat="false" ht="15" hidden="false" customHeight="false" outlineLevel="0" collapsed="false">
      <c r="B7" s="39" t="s">
        <v>138</v>
      </c>
      <c r="C7" s="40" t="s">
        <v>141</v>
      </c>
      <c r="D7" s="40" t="s">
        <v>142</v>
      </c>
    </row>
    <row r="8" customFormat="false" ht="15" hidden="false" customHeight="false" outlineLevel="0" collapsed="false">
      <c r="B8" s="39" t="s">
        <v>138</v>
      </c>
      <c r="C8" s="40" t="s">
        <v>143</v>
      </c>
      <c r="D8" s="40" t="s">
        <v>144</v>
      </c>
    </row>
    <row r="9" customFormat="false" ht="23.85" hidden="false" customHeight="false" outlineLevel="0" collapsed="false">
      <c r="B9" s="39" t="s">
        <v>145</v>
      </c>
      <c r="C9" s="40" t="s">
        <v>146</v>
      </c>
      <c r="D9" s="40" t="s">
        <v>147</v>
      </c>
    </row>
    <row r="10" customFormat="false" ht="15" hidden="false" customHeight="false" outlineLevel="0" collapsed="false">
      <c r="B10" s="39" t="s">
        <v>145</v>
      </c>
      <c r="C10" s="40" t="s">
        <v>148</v>
      </c>
      <c r="D10" s="40" t="s">
        <v>149</v>
      </c>
    </row>
    <row r="11" customFormat="false" ht="15" hidden="false" customHeight="false" outlineLevel="0" collapsed="false">
      <c r="B11" s="39" t="s">
        <v>59</v>
      </c>
      <c r="C11" s="40" t="s">
        <v>150</v>
      </c>
      <c r="D11" s="40" t="s">
        <v>151</v>
      </c>
    </row>
    <row r="12" customFormat="false" ht="15" hidden="false" customHeight="false" outlineLevel="0" collapsed="false">
      <c r="B12" s="39" t="s">
        <v>59</v>
      </c>
      <c r="C12" s="40" t="s">
        <v>152</v>
      </c>
      <c r="D12" s="40" t="s">
        <v>153</v>
      </c>
    </row>
    <row r="13" customFormat="false" ht="23.85" hidden="false" customHeight="false" outlineLevel="0" collapsed="false">
      <c r="B13" s="39" t="s">
        <v>59</v>
      </c>
      <c r="C13" s="40" t="s">
        <v>154</v>
      </c>
      <c r="D13" s="40" t="s">
        <v>155</v>
      </c>
    </row>
    <row r="14" customFormat="false" ht="15" hidden="false" customHeight="false" outlineLevel="0" collapsed="false">
      <c r="B14" s="39" t="s">
        <v>156</v>
      </c>
      <c r="C14" s="40" t="s">
        <v>157</v>
      </c>
      <c r="D14" s="40" t="s">
        <v>158</v>
      </c>
    </row>
    <row r="15" customFormat="false" ht="23.85" hidden="false" customHeight="false" outlineLevel="0" collapsed="false">
      <c r="B15" s="39" t="s">
        <v>156</v>
      </c>
      <c r="C15" s="40" t="s">
        <v>159</v>
      </c>
      <c r="D15" s="40" t="s">
        <v>160</v>
      </c>
    </row>
    <row r="16" customFormat="false" ht="15" hidden="false" customHeight="false" outlineLevel="0" collapsed="false">
      <c r="B16" s="39" t="s">
        <v>156</v>
      </c>
      <c r="C16" s="40" t="s">
        <v>161</v>
      </c>
      <c r="D16" s="40" t="s">
        <v>162</v>
      </c>
    </row>
    <row r="17" customFormat="false" ht="15" hidden="false" customHeight="false" outlineLevel="0" collapsed="false">
      <c r="B17" s="39" t="s">
        <v>163</v>
      </c>
      <c r="C17" s="40" t="s">
        <v>164</v>
      </c>
      <c r="D17" s="40" t="s">
        <v>165</v>
      </c>
    </row>
    <row r="18" customFormat="false" ht="15" hidden="false" customHeight="false" outlineLevel="0" collapsed="false">
      <c r="B18" s="39" t="s">
        <v>163</v>
      </c>
      <c r="C18" s="40" t="s">
        <v>166</v>
      </c>
      <c r="D18" s="40" t="s">
        <v>167</v>
      </c>
    </row>
    <row r="19" customFormat="false" ht="15" hidden="false" customHeight="false" outlineLevel="0" collapsed="false">
      <c r="B19" s="39" t="s">
        <v>168</v>
      </c>
      <c r="C19" s="40" t="s">
        <v>169</v>
      </c>
      <c r="D19" s="40" t="s">
        <v>170</v>
      </c>
    </row>
    <row r="20" customFormat="false" ht="15" hidden="false" customHeight="false" outlineLevel="0" collapsed="false">
      <c r="B20" s="39" t="s">
        <v>168</v>
      </c>
      <c r="C20" s="40" t="s">
        <v>171</v>
      </c>
      <c r="D20" s="40" t="s">
        <v>172</v>
      </c>
    </row>
    <row r="21" customFormat="false" ht="15" hidden="false" customHeight="false" outlineLevel="0" collapsed="false">
      <c r="B21" s="39" t="s">
        <v>168</v>
      </c>
      <c r="C21" s="40" t="s">
        <v>173</v>
      </c>
      <c r="D21" s="40" t="s">
        <v>174</v>
      </c>
    </row>
    <row r="22" customFormat="false" ht="15" hidden="false" customHeight="false" outlineLevel="0" collapsed="false">
      <c r="B22" s="39" t="s">
        <v>168</v>
      </c>
      <c r="C22" s="40" t="s">
        <v>175</v>
      </c>
      <c r="D22" s="40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66"/>
  </cols>
  <sheetData>
    <row r="2" customFormat="false" ht="19.7" hidden="false" customHeight="false" outlineLevel="0" collapsed="false">
      <c r="B2" s="7" t="s">
        <v>42</v>
      </c>
    </row>
    <row r="3" customFormat="false" ht="15" hidden="false" customHeight="false" outlineLevel="0" collapsed="false">
      <c r="B3" s="8" t="s">
        <v>177</v>
      </c>
    </row>
    <row r="5" customFormat="false" ht="15" hidden="false" customHeight="false" outlineLevel="0" collapsed="false">
      <c r="B5" s="12" t="s">
        <v>178</v>
      </c>
      <c r="C5" s="12" t="s">
        <v>179</v>
      </c>
      <c r="D5" s="12" t="s">
        <v>180</v>
      </c>
    </row>
    <row r="6" customFormat="false" ht="15" hidden="false" customHeight="false" outlineLevel="0" collapsed="false">
      <c r="B6" s="39" t="s">
        <v>181</v>
      </c>
      <c r="C6" s="13" t="s">
        <v>182</v>
      </c>
      <c r="D6" s="40" t="s">
        <v>183</v>
      </c>
    </row>
    <row r="7" customFormat="false" ht="23.85" hidden="false" customHeight="false" outlineLevel="0" collapsed="false">
      <c r="B7" s="39" t="s">
        <v>56</v>
      </c>
      <c r="C7" s="13" t="s">
        <v>184</v>
      </c>
      <c r="D7" s="40" t="s">
        <v>185</v>
      </c>
    </row>
    <row r="8" customFormat="false" ht="23.85" hidden="false" customHeight="false" outlineLevel="0" collapsed="false">
      <c r="B8" s="39" t="s">
        <v>121</v>
      </c>
      <c r="C8" s="13" t="s">
        <v>186</v>
      </c>
      <c r="D8" s="40" t="s">
        <v>187</v>
      </c>
    </row>
    <row r="9" customFormat="false" ht="15" hidden="false" customHeight="false" outlineLevel="0" collapsed="false">
      <c r="B9" s="39" t="s">
        <v>188</v>
      </c>
      <c r="C9" s="13" t="s">
        <v>186</v>
      </c>
      <c r="D9" s="40" t="s">
        <v>189</v>
      </c>
    </row>
    <row r="10" customFormat="false" ht="15" hidden="false" customHeight="false" outlineLevel="0" collapsed="false">
      <c r="B10" s="39" t="s">
        <v>190</v>
      </c>
      <c r="C10" s="13" t="s">
        <v>186</v>
      </c>
      <c r="D10" s="40" t="s">
        <v>191</v>
      </c>
    </row>
    <row r="11" customFormat="false" ht="15" hidden="false" customHeight="false" outlineLevel="0" collapsed="false">
      <c r="B11" s="39" t="s">
        <v>192</v>
      </c>
      <c r="C11" s="13" t="s">
        <v>182</v>
      </c>
      <c r="D11" s="40" t="s">
        <v>193</v>
      </c>
    </row>
    <row r="12" customFormat="false" ht="15" hidden="false" customHeight="false" outlineLevel="0" collapsed="false">
      <c r="B12" s="39" t="s">
        <v>194</v>
      </c>
      <c r="C12" s="13" t="s">
        <v>186</v>
      </c>
      <c r="D12" s="40" t="s">
        <v>195</v>
      </c>
    </row>
    <row r="13" customFormat="false" ht="15" hidden="false" customHeight="false" outlineLevel="0" collapsed="false">
      <c r="B13" s="39" t="s">
        <v>196</v>
      </c>
      <c r="C13" s="13" t="s">
        <v>186</v>
      </c>
      <c r="D13" s="40" t="s">
        <v>197</v>
      </c>
    </row>
    <row r="14" customFormat="false" ht="15" hidden="false" customHeight="false" outlineLevel="0" collapsed="false">
      <c r="B14" s="39" t="s">
        <v>198</v>
      </c>
      <c r="C14" s="13" t="s">
        <v>186</v>
      </c>
      <c r="D14" s="40" t="s">
        <v>199</v>
      </c>
    </row>
    <row r="15" customFormat="false" ht="23.85" hidden="false" customHeight="false" outlineLevel="0" collapsed="false">
      <c r="B15" s="39" t="s">
        <v>200</v>
      </c>
      <c r="C15" s="13" t="s">
        <v>186</v>
      </c>
      <c r="D15" s="40" t="s">
        <v>201</v>
      </c>
    </row>
    <row r="16" customFormat="false" ht="15" hidden="false" customHeight="false" outlineLevel="0" collapsed="false">
      <c r="B16" s="39" t="s">
        <v>202</v>
      </c>
      <c r="C16" s="13" t="s">
        <v>203</v>
      </c>
      <c r="D16" s="40" t="s">
        <v>204</v>
      </c>
    </row>
    <row r="17" customFormat="false" ht="15" hidden="false" customHeight="false" outlineLevel="0" collapsed="false">
      <c r="B17" s="39" t="s">
        <v>205</v>
      </c>
      <c r="C17" s="13" t="s">
        <v>182</v>
      </c>
      <c r="D17" s="40" t="s">
        <v>206</v>
      </c>
    </row>
  </sheetData>
  <conditionalFormatting sqref="C6:C17">
    <cfRule type="cellIs" priority="2" operator="equal" aboveAverage="0" equalAverage="0" bottom="0" percent="0" rank="0" text="" dxfId="4">
      <formula>"High"</formula>
    </cfRule>
    <cfRule type="cellIs" priority="3" operator="equal" aboveAverage="0" equalAverage="0" bottom="0" percent="0" rank="0" text="" dxfId="4">
      <formula>"Do not skip"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8" min="7" style="0" width="9"/>
    <col collapsed="false" customWidth="true" hidden="false" outlineLevel="0" max="10" min="9" style="0" width="10"/>
    <col collapsed="false" customWidth="true" hidden="false" outlineLevel="0" max="11" min="11" style="0" width="8"/>
    <col collapsed="false" customWidth="true" hidden="false" outlineLevel="0" max="12" min="12" style="0" width="10"/>
    <col collapsed="false" customWidth="true" hidden="false" outlineLevel="0" max="13" min="13" style="0" width="16"/>
  </cols>
  <sheetData>
    <row r="2" customFormat="false" ht="19.7" hidden="false" customHeight="false" outlineLevel="0" collapsed="false">
      <c r="B2" s="7" t="s">
        <v>44</v>
      </c>
    </row>
    <row r="3" customFormat="false" ht="27.75" hidden="false" customHeight="true" outlineLevel="0" collapsed="false">
      <c r="B3" s="21" t="s">
        <v>207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customFormat="false" ht="15" hidden="false" customHeight="true" outlineLevel="0" collapsed="false">
      <c r="B5" s="41" t="s">
        <v>208</v>
      </c>
      <c r="C5" s="41"/>
      <c r="E5" s="41" t="s">
        <v>209</v>
      </c>
      <c r="F5" s="41"/>
      <c r="H5" s="41" t="s">
        <v>210</v>
      </c>
      <c r="I5" s="41"/>
      <c r="K5" s="41" t="s">
        <v>211</v>
      </c>
      <c r="L5" s="41"/>
    </row>
    <row r="6" customFormat="false" ht="19.7" hidden="false" customHeight="false" outlineLevel="0" collapsed="false">
      <c r="B6" s="42" t="str">
        <f aca="true">IF(TODAY()&lt;'Weekly Plan'!D4,"Not started",MIN(12,INT((TODAY()-'Weekly Plan'!D4)/7)+1))</f>
        <v>Not started</v>
      </c>
      <c r="C6" s="42"/>
      <c r="E6" s="43" t="str">
        <f aca="false">IF(COUNTIF('Daily Log'!E5:E88,"?*")=0,"No logs yet",COUNTIF('Daily Log'!E5:E88,"Y")/COUNTIF('Daily Log'!E5:E88,"?*"))</f>
        <v>No logs yet</v>
      </c>
      <c r="F6" s="43"/>
      <c r="H6" s="44" t="n">
        <f aca="false">SUM('Daily Log'!O5:O88)</f>
        <v>0</v>
      </c>
      <c r="I6" s="44"/>
      <c r="K6" s="42" t="n">
        <f aca="false">COUNTIF(M10:M21,"UNDERTRAINING")+COUNTIF(M10:M21,"OVERREACHING")</f>
        <v>0</v>
      </c>
      <c r="L6" s="42"/>
    </row>
    <row r="9" customFormat="false" ht="30" hidden="false" customHeight="true" outlineLevel="0" collapsed="false">
      <c r="B9" s="12" t="s">
        <v>52</v>
      </c>
      <c r="C9" s="12" t="s">
        <v>53</v>
      </c>
      <c r="D9" s="12" t="s">
        <v>212</v>
      </c>
      <c r="E9" s="12" t="s">
        <v>213</v>
      </c>
      <c r="F9" s="12" t="s">
        <v>214</v>
      </c>
      <c r="G9" s="12" t="s">
        <v>215</v>
      </c>
      <c r="H9" s="12" t="s">
        <v>109</v>
      </c>
      <c r="I9" s="12" t="s">
        <v>110</v>
      </c>
      <c r="J9" s="12" t="s">
        <v>111</v>
      </c>
      <c r="K9" s="12" t="s">
        <v>216</v>
      </c>
      <c r="L9" s="12" t="s">
        <v>217</v>
      </c>
      <c r="M9" s="12" t="s">
        <v>218</v>
      </c>
    </row>
    <row r="10" customFormat="false" ht="15" hidden="false" customHeight="false" outlineLevel="0" collapsed="false">
      <c r="B10" s="22" t="n">
        <v>1</v>
      </c>
      <c r="C10" s="24" t="str">
        <f aca="false">'Weekly Plan'!C9</f>
        <v>Base</v>
      </c>
      <c r="D10" s="22" t="n">
        <f aca="false">COUNTIFS('Daily Log'!$I$5:$I$88,B10,'Daily Log'!$N$5:$N$88,"&gt;0")</f>
        <v>7</v>
      </c>
      <c r="E10" s="22" t="n">
        <f aca="false">COUNTIFS('Daily Log'!$I$5:$I$88,B10,'Daily Log'!$E$5:$E$88,"Y")</f>
        <v>0</v>
      </c>
      <c r="F10" s="29" t="str">
        <f aca="false">IF(COUNTIFS('Daily Log'!$I$5:$I$88,B10,'Daily Log'!$E$5:$E$88,"?*")=0,"",E10/D10)</f>
        <v/>
      </c>
      <c r="G10" s="27" t="n">
        <f aca="false">SUMIFS('Daily Log'!$K$5:$K$88,'Daily Log'!$I$5:$I$88,B10)</f>
        <v>15.1</v>
      </c>
      <c r="H10" s="27" t="n">
        <f aca="false">SUMIFS('Daily Log'!$O$5:$O$88,'Daily Log'!$I$5:$I$88,B10)</f>
        <v>0</v>
      </c>
      <c r="I10" s="28" t="n">
        <f aca="false">SUMIFS('Daily Log'!$P$5:$P$88,'Daily Log'!$I$5:$I$88,B10)</f>
        <v>1576</v>
      </c>
      <c r="J10" s="28" t="n">
        <f aca="false">SUMIFS('Daily Log'!$Q$5:$Q$88,'Daily Log'!$I$5:$I$88,B10)</f>
        <v>0</v>
      </c>
      <c r="K10" s="27" t="str">
        <f aca="false">IFERROR(AVERAGEIFS('Daily Log'!$G$5:$G$88,'Daily Log'!$I$5:$I$88,B10,'Daily Log'!$G$5:$G$88,"&gt;0"),"")</f>
        <v/>
      </c>
      <c r="L10" s="29" t="str">
        <f aca="false">IF(OR(COUNTIFS('Daily Log'!$I$5:$I$88,B10,'Daily Log'!$E$5:$E$88,"?*")=0,I10=0),"",J10/I10)</f>
        <v/>
      </c>
      <c r="M10" s="45" t="str">
        <f aca="false">IF(COUNTIFS('Daily Log'!$I$5:$I$88,B10,'Daily Log'!$E$5:$E$88,"?*")=0,"Not started",IF(L10&lt;0.85,"UNDERTRAINING",IF(AND(L10&gt;1.1,N(K10)&gt;=8),"OVERREACHING","On track")))</f>
        <v>Not started</v>
      </c>
    </row>
    <row r="11" customFormat="false" ht="15" hidden="false" customHeight="false" outlineLevel="0" collapsed="false">
      <c r="B11" s="22" t="n">
        <v>2</v>
      </c>
      <c r="C11" s="24" t="str">
        <f aca="false">'Weekly Plan'!C10</f>
        <v>Base</v>
      </c>
      <c r="D11" s="22" t="n">
        <f aca="false">COUNTIFS('Daily Log'!$I$5:$I$88,B11,'Daily Log'!$N$5:$N$88,"&gt;0")</f>
        <v>7</v>
      </c>
      <c r="E11" s="22" t="n">
        <f aca="false">COUNTIFS('Daily Log'!$I$5:$I$88,B11,'Daily Log'!$E$5:$E$88,"Y")</f>
        <v>0</v>
      </c>
      <c r="F11" s="29" t="str">
        <f aca="false">IF(COUNTIFS('Daily Log'!$I$5:$I$88,B11,'Daily Log'!$E$5:$E$88,"?*")=0,"",E11/D11)</f>
        <v/>
      </c>
      <c r="G11" s="27" t="n">
        <f aca="false">SUMIFS('Daily Log'!$K$5:$K$88,'Daily Log'!$I$5:$I$88,B11)</f>
        <v>15.7</v>
      </c>
      <c r="H11" s="27" t="n">
        <f aca="false">SUMIFS('Daily Log'!$O$5:$O$88,'Daily Log'!$I$5:$I$88,B11)</f>
        <v>0</v>
      </c>
      <c r="I11" s="28" t="n">
        <f aca="false">SUMIFS('Daily Log'!$P$5:$P$88,'Daily Log'!$I$5:$I$88,B11)</f>
        <v>1606</v>
      </c>
      <c r="J11" s="28" t="n">
        <f aca="false">SUMIFS('Daily Log'!$Q$5:$Q$88,'Daily Log'!$I$5:$I$88,B11)</f>
        <v>0</v>
      </c>
      <c r="K11" s="27" t="str">
        <f aca="false">IFERROR(AVERAGEIFS('Daily Log'!$G$5:$G$88,'Daily Log'!$I$5:$I$88,B11,'Daily Log'!$G$5:$G$88,"&gt;0"),"")</f>
        <v/>
      </c>
      <c r="L11" s="29" t="str">
        <f aca="false">IF(OR(COUNTIFS('Daily Log'!$I$5:$I$88,B11,'Daily Log'!$E$5:$E$88,"?*")=0,I11=0),"",J11/I11)</f>
        <v/>
      </c>
      <c r="M11" s="45" t="str">
        <f aca="false">IF(COUNTIFS('Daily Log'!$I$5:$I$88,B11,'Daily Log'!$E$5:$E$88,"?*")=0,"Not started",IF(L11&lt;0.85,"UNDERTRAINING",IF(AND(L11&gt;1.1,N(K11)&gt;=8),"OVERREACHING","On track")))</f>
        <v>Not started</v>
      </c>
    </row>
    <row r="12" customFormat="false" ht="15" hidden="false" customHeight="false" outlineLevel="0" collapsed="false">
      <c r="B12" s="22" t="n">
        <v>3</v>
      </c>
      <c r="C12" s="24" t="str">
        <f aca="false">'Weekly Plan'!C11</f>
        <v>Base</v>
      </c>
      <c r="D12" s="22" t="n">
        <f aca="false">COUNTIFS('Daily Log'!$I$5:$I$88,B12,'Daily Log'!$N$5:$N$88,"&gt;0")</f>
        <v>7</v>
      </c>
      <c r="E12" s="22" t="n">
        <f aca="false">COUNTIFS('Daily Log'!$I$5:$I$88,B12,'Daily Log'!$E$5:$E$88,"Y")</f>
        <v>0</v>
      </c>
      <c r="F12" s="29" t="str">
        <f aca="false">IF(COUNTIFS('Daily Log'!$I$5:$I$88,B12,'Daily Log'!$E$5:$E$88,"?*")=0,"",E12/D12)</f>
        <v/>
      </c>
      <c r="G12" s="27" t="n">
        <f aca="false">SUMIFS('Daily Log'!$K$5:$K$88,'Daily Log'!$I$5:$I$88,B12)</f>
        <v>16.5</v>
      </c>
      <c r="H12" s="27" t="n">
        <f aca="false">SUMIFS('Daily Log'!$O$5:$O$88,'Daily Log'!$I$5:$I$88,B12)</f>
        <v>0</v>
      </c>
      <c r="I12" s="28" t="n">
        <f aca="false">SUMIFS('Daily Log'!$P$5:$P$88,'Daily Log'!$I$5:$I$88,B12)</f>
        <v>1647</v>
      </c>
      <c r="J12" s="28" t="n">
        <f aca="false">SUMIFS('Daily Log'!$Q$5:$Q$88,'Daily Log'!$I$5:$I$88,B12)</f>
        <v>0</v>
      </c>
      <c r="K12" s="27" t="str">
        <f aca="false">IFERROR(AVERAGEIFS('Daily Log'!$G$5:$G$88,'Daily Log'!$I$5:$I$88,B12,'Daily Log'!$G$5:$G$88,"&gt;0"),"")</f>
        <v/>
      </c>
      <c r="L12" s="29" t="str">
        <f aca="false">IF(OR(COUNTIFS('Daily Log'!$I$5:$I$88,B12,'Daily Log'!$E$5:$E$88,"?*")=0,I12=0),"",J12/I12)</f>
        <v/>
      </c>
      <c r="M12" s="45" t="str">
        <f aca="false">IF(COUNTIFS('Daily Log'!$I$5:$I$88,B12,'Daily Log'!$E$5:$E$88,"?*")=0,"Not started",IF(L12&lt;0.85,"UNDERTRAINING",IF(AND(L12&gt;1.1,N(K12)&gt;=8),"OVERREACHING","On track")))</f>
        <v>Not started</v>
      </c>
    </row>
    <row r="13" customFormat="false" ht="15" hidden="false" customHeight="false" outlineLevel="0" collapsed="false">
      <c r="B13" s="22" t="n">
        <v>4</v>
      </c>
      <c r="C13" s="24" t="str">
        <f aca="false">'Weekly Plan'!C12</f>
        <v>Deload</v>
      </c>
      <c r="D13" s="22" t="n">
        <f aca="false">COUNTIFS('Daily Log'!$I$5:$I$88,B13,'Daily Log'!$N$5:$N$88,"&gt;0")</f>
        <v>7</v>
      </c>
      <c r="E13" s="22" t="n">
        <f aca="false">COUNTIFS('Daily Log'!$I$5:$I$88,B13,'Daily Log'!$E$5:$E$88,"Y")</f>
        <v>0</v>
      </c>
      <c r="F13" s="29" t="str">
        <f aca="false">IF(COUNTIFS('Daily Log'!$I$5:$I$88,B13,'Daily Log'!$E$5:$E$88,"?*")=0,"",E13/D13)</f>
        <v/>
      </c>
      <c r="G13" s="27" t="n">
        <f aca="false">SUMIFS('Daily Log'!$K$5:$K$88,'Daily Log'!$I$5:$I$88,B13)</f>
        <v>10</v>
      </c>
      <c r="H13" s="27" t="n">
        <f aca="false">SUMIFS('Daily Log'!$O$5:$O$88,'Daily Log'!$I$5:$I$88,B13)</f>
        <v>0</v>
      </c>
      <c r="I13" s="28" t="n">
        <f aca="false">SUMIFS('Daily Log'!$P$5:$P$88,'Daily Log'!$I$5:$I$88,B13)</f>
        <v>1170</v>
      </c>
      <c r="J13" s="28" t="n">
        <f aca="false">SUMIFS('Daily Log'!$Q$5:$Q$88,'Daily Log'!$I$5:$I$88,B13)</f>
        <v>0</v>
      </c>
      <c r="K13" s="27" t="str">
        <f aca="false">IFERROR(AVERAGEIFS('Daily Log'!$G$5:$G$88,'Daily Log'!$I$5:$I$88,B13,'Daily Log'!$G$5:$G$88,"&gt;0"),"")</f>
        <v/>
      </c>
      <c r="L13" s="29" t="str">
        <f aca="false">IF(OR(COUNTIFS('Daily Log'!$I$5:$I$88,B13,'Daily Log'!$E$5:$E$88,"?*")=0,I13=0),"",J13/I13)</f>
        <v/>
      </c>
      <c r="M13" s="45" t="str">
        <f aca="false">IF(COUNTIFS('Daily Log'!$I$5:$I$88,B13,'Daily Log'!$E$5:$E$88,"?*")=0,"Not started",IF(L13&lt;0.85,"UNDERTRAINING",IF(AND(L13&gt;1.1,N(K13)&gt;=8),"OVERREACHING","On track")))</f>
        <v>Not started</v>
      </c>
    </row>
    <row r="14" customFormat="false" ht="15" hidden="false" customHeight="false" outlineLevel="0" collapsed="false">
      <c r="B14" s="22" t="n">
        <v>5</v>
      </c>
      <c r="C14" s="24" t="str">
        <f aca="false">'Weekly Plan'!C13</f>
        <v>Build</v>
      </c>
      <c r="D14" s="22" t="n">
        <f aca="false">COUNTIFS('Daily Log'!$I$5:$I$88,B14,'Daily Log'!$N$5:$N$88,"&gt;0")</f>
        <v>7</v>
      </c>
      <c r="E14" s="22" t="n">
        <f aca="false">COUNTIFS('Daily Log'!$I$5:$I$88,B14,'Daily Log'!$E$5:$E$88,"Y")</f>
        <v>0</v>
      </c>
      <c r="F14" s="29" t="str">
        <f aca="false">IF(COUNTIFS('Daily Log'!$I$5:$I$88,B14,'Daily Log'!$E$5:$E$88,"?*")=0,"",E14/D14)</f>
        <v/>
      </c>
      <c r="G14" s="27" t="n">
        <f aca="false">SUMIFS('Daily Log'!$K$5:$K$88,'Daily Log'!$I$5:$I$88,B14)</f>
        <v>18.2</v>
      </c>
      <c r="H14" s="27" t="n">
        <f aca="false">SUMIFS('Daily Log'!$O$5:$O$88,'Daily Log'!$I$5:$I$88,B14)</f>
        <v>0</v>
      </c>
      <c r="I14" s="28" t="n">
        <f aca="false">SUMIFS('Daily Log'!$P$5:$P$88,'Daily Log'!$I$5:$I$88,B14)</f>
        <v>1735</v>
      </c>
      <c r="J14" s="28" t="n">
        <f aca="false">SUMIFS('Daily Log'!$Q$5:$Q$88,'Daily Log'!$I$5:$I$88,B14)</f>
        <v>0</v>
      </c>
      <c r="K14" s="27" t="str">
        <f aca="false">IFERROR(AVERAGEIFS('Daily Log'!$G$5:$G$88,'Daily Log'!$I$5:$I$88,B14,'Daily Log'!$G$5:$G$88,"&gt;0"),"")</f>
        <v/>
      </c>
      <c r="L14" s="29" t="str">
        <f aca="false">IF(OR(COUNTIFS('Daily Log'!$I$5:$I$88,B14,'Daily Log'!$E$5:$E$88,"?*")=0,I14=0),"",J14/I14)</f>
        <v/>
      </c>
      <c r="M14" s="45" t="str">
        <f aca="false">IF(COUNTIFS('Daily Log'!$I$5:$I$88,B14,'Daily Log'!$E$5:$E$88,"?*")=0,"Not started",IF(L14&lt;0.85,"UNDERTRAINING",IF(AND(L14&gt;1.1,N(K14)&gt;=8),"OVERREACHING","On track")))</f>
        <v>Not started</v>
      </c>
    </row>
    <row r="15" customFormat="false" ht="15" hidden="false" customHeight="false" outlineLevel="0" collapsed="false">
      <c r="B15" s="22" t="n">
        <v>6</v>
      </c>
      <c r="C15" s="24" t="str">
        <f aca="false">'Weekly Plan'!C14</f>
        <v>Build</v>
      </c>
      <c r="D15" s="22" t="n">
        <f aca="false">COUNTIFS('Daily Log'!$I$5:$I$88,B15,'Daily Log'!$N$5:$N$88,"&gt;0")</f>
        <v>7</v>
      </c>
      <c r="E15" s="22" t="n">
        <f aca="false">COUNTIFS('Daily Log'!$I$5:$I$88,B15,'Daily Log'!$E$5:$E$88,"Y")</f>
        <v>0</v>
      </c>
      <c r="F15" s="29" t="str">
        <f aca="false">IF(COUNTIFS('Daily Log'!$I$5:$I$88,B15,'Daily Log'!$E$5:$E$88,"?*")=0,"",E15/D15)</f>
        <v/>
      </c>
      <c r="G15" s="27" t="n">
        <f aca="false">SUMIFS('Daily Log'!$K$5:$K$88,'Daily Log'!$I$5:$I$88,B15)</f>
        <v>20</v>
      </c>
      <c r="H15" s="27" t="n">
        <f aca="false">SUMIFS('Daily Log'!$O$5:$O$88,'Daily Log'!$I$5:$I$88,B15)</f>
        <v>0</v>
      </c>
      <c r="I15" s="28" t="n">
        <f aca="false">SUMIFS('Daily Log'!$P$5:$P$88,'Daily Log'!$I$5:$I$88,B15)</f>
        <v>1830</v>
      </c>
      <c r="J15" s="28" t="n">
        <f aca="false">SUMIFS('Daily Log'!$Q$5:$Q$88,'Daily Log'!$I$5:$I$88,B15)</f>
        <v>0</v>
      </c>
      <c r="K15" s="27" t="str">
        <f aca="false">IFERROR(AVERAGEIFS('Daily Log'!$G$5:$G$88,'Daily Log'!$I$5:$I$88,B15,'Daily Log'!$G$5:$G$88,"&gt;0"),"")</f>
        <v/>
      </c>
      <c r="L15" s="29" t="str">
        <f aca="false">IF(OR(COUNTIFS('Daily Log'!$I$5:$I$88,B15,'Daily Log'!$E$5:$E$88,"?*")=0,I15=0),"",J15/I15)</f>
        <v/>
      </c>
      <c r="M15" s="45" t="str">
        <f aca="false">IF(COUNTIFS('Daily Log'!$I$5:$I$88,B15,'Daily Log'!$E$5:$E$88,"?*")=0,"Not started",IF(L15&lt;0.85,"UNDERTRAINING",IF(AND(L15&gt;1.1,N(K15)&gt;=8),"OVERREACHING","On track")))</f>
        <v>Not started</v>
      </c>
    </row>
    <row r="16" customFormat="false" ht="15" hidden="false" customHeight="false" outlineLevel="0" collapsed="false">
      <c r="B16" s="22" t="n">
        <v>7</v>
      </c>
      <c r="C16" s="24" t="str">
        <f aca="false">'Weekly Plan'!C15</f>
        <v>Build</v>
      </c>
      <c r="D16" s="22" t="n">
        <f aca="false">COUNTIFS('Daily Log'!$I$5:$I$88,B16,'Daily Log'!$N$5:$N$88,"&gt;0")</f>
        <v>7</v>
      </c>
      <c r="E16" s="22" t="n">
        <f aca="false">COUNTIFS('Daily Log'!$I$5:$I$88,B16,'Daily Log'!$E$5:$E$88,"Y")</f>
        <v>0</v>
      </c>
      <c r="F16" s="29" t="str">
        <f aca="false">IF(COUNTIFS('Daily Log'!$I$5:$I$88,B16,'Daily Log'!$E$5:$E$88,"?*")=0,"",E16/D16)</f>
        <v/>
      </c>
      <c r="G16" s="27" t="n">
        <f aca="false">SUMIFS('Daily Log'!$K$5:$K$88,'Daily Log'!$I$5:$I$88,B16)</f>
        <v>22</v>
      </c>
      <c r="H16" s="27" t="n">
        <f aca="false">SUMIFS('Daily Log'!$O$5:$O$88,'Daily Log'!$I$5:$I$88,B16)</f>
        <v>0</v>
      </c>
      <c r="I16" s="28" t="n">
        <f aca="false">SUMIFS('Daily Log'!$P$5:$P$88,'Daily Log'!$I$5:$I$88,B16)</f>
        <v>1934</v>
      </c>
      <c r="J16" s="28" t="n">
        <f aca="false">SUMIFS('Daily Log'!$Q$5:$Q$88,'Daily Log'!$I$5:$I$88,B16)</f>
        <v>0</v>
      </c>
      <c r="K16" s="27" t="str">
        <f aca="false">IFERROR(AVERAGEIFS('Daily Log'!$G$5:$G$88,'Daily Log'!$I$5:$I$88,B16,'Daily Log'!$G$5:$G$88,"&gt;0"),"")</f>
        <v/>
      </c>
      <c r="L16" s="29" t="str">
        <f aca="false">IF(OR(COUNTIFS('Daily Log'!$I$5:$I$88,B16,'Daily Log'!$E$5:$E$88,"?*")=0,I16=0),"",J16/I16)</f>
        <v/>
      </c>
      <c r="M16" s="45" t="str">
        <f aca="false">IF(COUNTIFS('Daily Log'!$I$5:$I$88,B16,'Daily Log'!$E$5:$E$88,"?*")=0,"Not started",IF(L16&lt;0.85,"UNDERTRAINING",IF(AND(L16&gt;1.1,N(K16)&gt;=8),"OVERREACHING","On track")))</f>
        <v>Not started</v>
      </c>
    </row>
    <row r="17" customFormat="false" ht="15" hidden="false" customHeight="false" outlineLevel="0" collapsed="false">
      <c r="B17" s="22" t="n">
        <v>8</v>
      </c>
      <c r="C17" s="24" t="str">
        <f aca="false">'Weekly Plan'!C16</f>
        <v>Deload / Test</v>
      </c>
      <c r="D17" s="22" t="n">
        <f aca="false">COUNTIFS('Daily Log'!$I$5:$I$88,B17,'Daily Log'!$N$5:$N$88,"&gt;0")</f>
        <v>7</v>
      </c>
      <c r="E17" s="22" t="n">
        <f aca="false">COUNTIFS('Daily Log'!$I$5:$I$88,B17,'Daily Log'!$E$5:$E$88,"Y")</f>
        <v>0</v>
      </c>
      <c r="F17" s="29" t="str">
        <f aca="false">IF(COUNTIFS('Daily Log'!$I$5:$I$88,B17,'Daily Log'!$E$5:$E$88,"?*")=0,"",E17/D17)</f>
        <v/>
      </c>
      <c r="G17" s="27" t="n">
        <f aca="false">SUMIFS('Daily Log'!$K$5:$K$88,'Daily Log'!$I$5:$I$88,B17)</f>
        <v>13.2</v>
      </c>
      <c r="H17" s="27" t="n">
        <f aca="false">SUMIFS('Daily Log'!$O$5:$O$88,'Daily Log'!$I$5:$I$88,B17)</f>
        <v>0</v>
      </c>
      <c r="I17" s="28" t="n">
        <f aca="false">SUMIFS('Daily Log'!$P$5:$P$88,'Daily Log'!$I$5:$I$88,B17)</f>
        <v>1426</v>
      </c>
      <c r="J17" s="28" t="n">
        <f aca="false">SUMIFS('Daily Log'!$Q$5:$Q$88,'Daily Log'!$I$5:$I$88,B17)</f>
        <v>0</v>
      </c>
      <c r="K17" s="27" t="str">
        <f aca="false">IFERROR(AVERAGEIFS('Daily Log'!$G$5:$G$88,'Daily Log'!$I$5:$I$88,B17,'Daily Log'!$G$5:$G$88,"&gt;0"),"")</f>
        <v/>
      </c>
      <c r="L17" s="29" t="str">
        <f aca="false">IF(OR(COUNTIFS('Daily Log'!$I$5:$I$88,B17,'Daily Log'!$E$5:$E$88,"?*")=0,I17=0),"",J17/I17)</f>
        <v/>
      </c>
      <c r="M17" s="45" t="str">
        <f aca="false">IF(COUNTIFS('Daily Log'!$I$5:$I$88,B17,'Daily Log'!$E$5:$E$88,"?*")=0,"Not started",IF(L17&lt;0.85,"UNDERTRAINING",IF(AND(L17&gt;1.1,N(K17)&gt;=8),"OVERREACHING","On track")))</f>
        <v>Not started</v>
      </c>
    </row>
    <row r="18" customFormat="false" ht="15" hidden="false" customHeight="false" outlineLevel="0" collapsed="false">
      <c r="B18" s="22" t="n">
        <v>9</v>
      </c>
      <c r="C18" s="24" t="str">
        <f aca="false">'Weekly Plan'!C17</f>
        <v>Peak</v>
      </c>
      <c r="D18" s="22" t="n">
        <f aca="false">COUNTIFS('Daily Log'!$I$5:$I$88,B18,'Daily Log'!$N$5:$N$88,"&gt;0")</f>
        <v>7</v>
      </c>
      <c r="E18" s="22" t="n">
        <f aca="false">COUNTIFS('Daily Log'!$I$5:$I$88,B18,'Daily Log'!$E$5:$E$88,"Y")</f>
        <v>0</v>
      </c>
      <c r="F18" s="29" t="str">
        <f aca="false">IF(COUNTIFS('Daily Log'!$I$5:$I$88,B18,'Daily Log'!$E$5:$E$88,"?*")=0,"",E18/D18)</f>
        <v/>
      </c>
      <c r="G18" s="27" t="n">
        <f aca="false">SUMIFS('Daily Log'!$K$5:$K$88,'Daily Log'!$I$5:$I$88,B18)</f>
        <v>22</v>
      </c>
      <c r="H18" s="27" t="n">
        <f aca="false">SUMIFS('Daily Log'!$O$5:$O$88,'Daily Log'!$I$5:$I$88,B18)</f>
        <v>0</v>
      </c>
      <c r="I18" s="28" t="n">
        <f aca="false">SUMIFS('Daily Log'!$P$5:$P$88,'Daily Log'!$I$5:$I$88,B18)</f>
        <v>2024</v>
      </c>
      <c r="J18" s="28" t="n">
        <f aca="false">SUMIFS('Daily Log'!$Q$5:$Q$88,'Daily Log'!$I$5:$I$88,B18)</f>
        <v>0</v>
      </c>
      <c r="K18" s="27" t="str">
        <f aca="false">IFERROR(AVERAGEIFS('Daily Log'!$G$5:$G$88,'Daily Log'!$I$5:$I$88,B18,'Daily Log'!$G$5:$G$88,"&gt;0"),"")</f>
        <v/>
      </c>
      <c r="L18" s="29" t="str">
        <f aca="false">IF(OR(COUNTIFS('Daily Log'!$I$5:$I$88,B18,'Daily Log'!$E$5:$E$88,"?*")=0,I18=0),"",J18/I18)</f>
        <v/>
      </c>
      <c r="M18" s="45" t="str">
        <f aca="false">IF(COUNTIFS('Daily Log'!$I$5:$I$88,B18,'Daily Log'!$E$5:$E$88,"?*")=0,"Not started",IF(L18&lt;0.85,"UNDERTRAINING",IF(AND(L18&gt;1.1,N(K18)&gt;=8),"OVERREACHING","On track")))</f>
        <v>Not started</v>
      </c>
    </row>
    <row r="19" customFormat="false" ht="15" hidden="false" customHeight="false" outlineLevel="0" collapsed="false">
      <c r="B19" s="22" t="n">
        <v>10</v>
      </c>
      <c r="C19" s="24" t="str">
        <f aca="false">'Weekly Plan'!C18</f>
        <v>Peak</v>
      </c>
      <c r="D19" s="22" t="n">
        <f aca="false">COUNTIFS('Daily Log'!$I$5:$I$88,B19,'Daily Log'!$N$5:$N$88,"&gt;0")</f>
        <v>7</v>
      </c>
      <c r="E19" s="22" t="n">
        <f aca="false">COUNTIFS('Daily Log'!$I$5:$I$88,B19,'Daily Log'!$E$5:$E$88,"Y")</f>
        <v>0</v>
      </c>
      <c r="F19" s="29" t="str">
        <f aca="false">IF(COUNTIFS('Daily Log'!$I$5:$I$88,B19,'Daily Log'!$E$5:$E$88,"?*")=0,"",E19/D19)</f>
        <v/>
      </c>
      <c r="G19" s="27" t="n">
        <f aca="false">SUMIFS('Daily Log'!$K$5:$K$88,'Daily Log'!$I$5:$I$88,B19)</f>
        <v>22</v>
      </c>
      <c r="H19" s="27" t="n">
        <f aca="false">SUMIFS('Daily Log'!$O$5:$O$88,'Daily Log'!$I$5:$I$88,B19)</f>
        <v>0</v>
      </c>
      <c r="I19" s="28" t="n">
        <f aca="false">SUMIFS('Daily Log'!$P$5:$P$88,'Daily Log'!$I$5:$I$88,B19)</f>
        <v>2024</v>
      </c>
      <c r="J19" s="28" t="n">
        <f aca="false">SUMIFS('Daily Log'!$Q$5:$Q$88,'Daily Log'!$I$5:$I$88,B19)</f>
        <v>0</v>
      </c>
      <c r="K19" s="27" t="str">
        <f aca="false">IFERROR(AVERAGEIFS('Daily Log'!$G$5:$G$88,'Daily Log'!$I$5:$I$88,B19,'Daily Log'!$G$5:$G$88,"&gt;0"),"")</f>
        <v/>
      </c>
      <c r="L19" s="29" t="str">
        <f aca="false">IF(OR(COUNTIFS('Daily Log'!$I$5:$I$88,B19,'Daily Log'!$E$5:$E$88,"?*")=0,I19=0),"",J19/I19)</f>
        <v/>
      </c>
      <c r="M19" s="45" t="str">
        <f aca="false">IF(COUNTIFS('Daily Log'!$I$5:$I$88,B19,'Daily Log'!$E$5:$E$88,"?*")=0,"Not started",IF(L19&lt;0.85,"UNDERTRAINING",IF(AND(L19&gt;1.1,N(K19)&gt;=8),"OVERREACHING","On track")))</f>
        <v>Not started</v>
      </c>
    </row>
    <row r="20" customFormat="false" ht="15" hidden="false" customHeight="false" outlineLevel="0" collapsed="false">
      <c r="B20" s="22" t="n">
        <v>11</v>
      </c>
      <c r="C20" s="24" t="str">
        <f aca="false">'Weekly Plan'!C19</f>
        <v>Peak</v>
      </c>
      <c r="D20" s="22" t="n">
        <f aca="false">COUNTIFS('Daily Log'!$I$5:$I$88,B20,'Daily Log'!$N$5:$N$88,"&gt;0")</f>
        <v>7</v>
      </c>
      <c r="E20" s="22" t="n">
        <f aca="false">COUNTIFS('Daily Log'!$I$5:$I$88,B20,'Daily Log'!$E$5:$E$88,"Y")</f>
        <v>0</v>
      </c>
      <c r="F20" s="29" t="str">
        <f aca="false">IF(COUNTIFS('Daily Log'!$I$5:$I$88,B20,'Daily Log'!$E$5:$E$88,"?*")=0,"",E20/D20)</f>
        <v/>
      </c>
      <c r="G20" s="27" t="n">
        <f aca="false">SUMIFS('Daily Log'!$K$5:$K$88,'Daily Log'!$I$5:$I$88,B20)</f>
        <v>22</v>
      </c>
      <c r="H20" s="27" t="n">
        <f aca="false">SUMIFS('Daily Log'!$O$5:$O$88,'Daily Log'!$I$5:$I$88,B20)</f>
        <v>0</v>
      </c>
      <c r="I20" s="28" t="n">
        <f aca="false">SUMIFS('Daily Log'!$P$5:$P$88,'Daily Log'!$I$5:$I$88,B20)</f>
        <v>2024</v>
      </c>
      <c r="J20" s="28" t="n">
        <f aca="false">SUMIFS('Daily Log'!$Q$5:$Q$88,'Daily Log'!$I$5:$I$88,B20)</f>
        <v>0</v>
      </c>
      <c r="K20" s="27" t="str">
        <f aca="false">IFERROR(AVERAGEIFS('Daily Log'!$G$5:$G$88,'Daily Log'!$I$5:$I$88,B20,'Daily Log'!$G$5:$G$88,"&gt;0"),"")</f>
        <v/>
      </c>
      <c r="L20" s="29" t="str">
        <f aca="false">IF(OR(COUNTIFS('Daily Log'!$I$5:$I$88,B20,'Daily Log'!$E$5:$E$88,"?*")=0,I20=0),"",J20/I20)</f>
        <v/>
      </c>
      <c r="M20" s="45" t="str">
        <f aca="false">IF(COUNTIFS('Daily Log'!$I$5:$I$88,B20,'Daily Log'!$E$5:$E$88,"?*")=0,"Not started",IF(L20&lt;0.85,"UNDERTRAINING",IF(AND(L20&gt;1.1,N(K20)&gt;=8),"OVERREACHING","On track")))</f>
        <v>Not started</v>
      </c>
    </row>
    <row r="21" customFormat="false" ht="15" hidden="false" customHeight="false" outlineLevel="0" collapsed="false">
      <c r="B21" s="22" t="n">
        <v>12</v>
      </c>
      <c r="C21" s="24" t="str">
        <f aca="false">'Weekly Plan'!C20</f>
        <v>Taper / Event</v>
      </c>
      <c r="D21" s="22" t="n">
        <f aca="false">COUNTIFS('Daily Log'!$I$5:$I$88,B21,'Daily Log'!$N$5:$N$88,"&gt;0")</f>
        <v>6</v>
      </c>
      <c r="E21" s="22" t="n">
        <f aca="false">COUNTIFS('Daily Log'!$I$5:$I$88,B21,'Daily Log'!$E$5:$E$88,"Y")</f>
        <v>0</v>
      </c>
      <c r="F21" s="29" t="str">
        <f aca="false">IF(COUNTIFS('Daily Log'!$I$5:$I$88,B21,'Daily Log'!$E$5:$E$88,"?*")=0,"",E21/D21)</f>
        <v/>
      </c>
      <c r="G21" s="27" t="n">
        <f aca="false">SUMIFS('Daily Log'!$K$5:$K$88,'Daily Log'!$I$5:$I$88,B21)</f>
        <v>8.8</v>
      </c>
      <c r="H21" s="27" t="n">
        <f aca="false">SUMIFS('Daily Log'!$O$5:$O$88,'Daily Log'!$I$5:$I$88,B21)</f>
        <v>0</v>
      </c>
      <c r="I21" s="28" t="n">
        <f aca="false">SUMIFS('Daily Log'!$P$5:$P$88,'Daily Log'!$I$5:$I$88,B21)</f>
        <v>1148</v>
      </c>
      <c r="J21" s="28" t="n">
        <f aca="false">SUMIFS('Daily Log'!$Q$5:$Q$88,'Daily Log'!$I$5:$I$88,B21)</f>
        <v>0</v>
      </c>
      <c r="K21" s="27" t="str">
        <f aca="false">IFERROR(AVERAGEIFS('Daily Log'!$G$5:$G$88,'Daily Log'!$I$5:$I$88,B21,'Daily Log'!$G$5:$G$88,"&gt;0"),"")</f>
        <v/>
      </c>
      <c r="L21" s="29" t="str">
        <f aca="false">IF(OR(COUNTIFS('Daily Log'!$I$5:$I$88,B21,'Daily Log'!$E$5:$E$88,"?*")=0,I21=0),"",J21/I21)</f>
        <v/>
      </c>
      <c r="M21" s="45" t="str">
        <f aca="false">IF(COUNTIFS('Daily Log'!$I$5:$I$88,B21,'Daily Log'!$E$5:$E$88,"?*")=0,"Not started",IF(L21&lt;0.85,"UNDERTRAINING",IF(AND(L21&gt;1.1,N(K21)&gt;=8),"OVERREACHING","On track")))</f>
        <v>Not started</v>
      </c>
    </row>
  </sheetData>
  <mergeCells count="9">
    <mergeCell ref="B3:M3"/>
    <mergeCell ref="B5:C5"/>
    <mergeCell ref="E5:F5"/>
    <mergeCell ref="H5:I5"/>
    <mergeCell ref="K5:L5"/>
    <mergeCell ref="B6:C6"/>
    <mergeCell ref="E6:F6"/>
    <mergeCell ref="H6:I6"/>
    <mergeCell ref="K6:L6"/>
  </mergeCells>
  <conditionalFormatting sqref="M10:M21">
    <cfRule type="cellIs" priority="2" operator="equal" aboveAverage="0" equalAverage="0" bottom="0" percent="0" rank="0" text="" dxfId="4">
      <formula>"UNDERTRAINING"</formula>
    </cfRule>
    <cfRule type="cellIs" priority="3" operator="equal" aboveAverage="0" equalAverage="0" bottom="0" percent="0" rank="0" text="" dxfId="4">
      <formula>"OVERREACHING"</formula>
    </cfRule>
    <cfRule type="cellIs" priority="4" operator="equal" aboveAverage="0" equalAverage="0" bottom="0" percent="0" rank="0" text="" dxfId="5">
      <formula>"On track"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6" min="3" style="0" width="13"/>
    <col collapsed="false" customWidth="true" hidden="false" outlineLevel="0" max="8" min="7" style="0" width="11"/>
    <col collapsed="false" customWidth="true" hidden="false" outlineLevel="0" max="11" min="9" style="0" width="13"/>
    <col collapsed="false" customWidth="true" hidden="false" outlineLevel="0" max="12" min="12" style="0" width="14"/>
    <col collapsed="false" customWidth="true" hidden="false" outlineLevel="0" max="13" min="13" style="0" width="44"/>
  </cols>
  <sheetData>
    <row r="2" customFormat="false" ht="19.7" hidden="false" customHeight="false" outlineLevel="0" collapsed="false">
      <c r="B2" s="7" t="s">
        <v>46</v>
      </c>
    </row>
    <row r="3" customFormat="false" ht="15" hidden="false" customHeight="false" outlineLevel="0" collapsed="false">
      <c r="B3" s="8" t="s">
        <v>219</v>
      </c>
    </row>
    <row r="4" customFormat="false" ht="15" hidden="false" customHeight="false" outlineLevel="0" collapsed="false">
      <c r="B4" s="46" t="s">
        <v>220</v>
      </c>
      <c r="C4" s="47" t="n">
        <v>1</v>
      </c>
    </row>
    <row r="6" customFormat="false" ht="35.05" hidden="false" customHeight="false" outlineLevel="0" collapsed="false">
      <c r="B6" s="12" t="s">
        <v>52</v>
      </c>
      <c r="C6" s="12" t="s">
        <v>53</v>
      </c>
      <c r="D6" s="12" t="s">
        <v>221</v>
      </c>
      <c r="E6" s="12" t="s">
        <v>222</v>
      </c>
      <c r="F6" s="12" t="s">
        <v>223</v>
      </c>
      <c r="G6" s="12" t="s">
        <v>224</v>
      </c>
      <c r="H6" s="12" t="s">
        <v>225</v>
      </c>
      <c r="I6" s="12" t="s">
        <v>226</v>
      </c>
      <c r="J6" s="12" t="s">
        <v>227</v>
      </c>
      <c r="K6" s="12" t="s">
        <v>228</v>
      </c>
      <c r="L6" s="12" t="s">
        <v>229</v>
      </c>
      <c r="M6" s="12" t="s">
        <v>103</v>
      </c>
    </row>
    <row r="7" customFormat="false" ht="15" hidden="false" customHeight="false" outlineLevel="0" collapsed="false">
      <c r="B7" s="13" t="n">
        <v>1</v>
      </c>
      <c r="C7" s="14" t="s">
        <v>62</v>
      </c>
      <c r="D7" s="13" t="n">
        <v>50</v>
      </c>
      <c r="E7" s="48" t="n">
        <f aca="false">ROUND(D7*$C$4/5,0)*5</f>
        <v>50</v>
      </c>
      <c r="F7" s="13" t="s">
        <v>230</v>
      </c>
      <c r="G7" s="13" t="n">
        <v>50</v>
      </c>
      <c r="H7" s="48" t="n">
        <f aca="false">ROUND(G7*$C$4/5,0)*5</f>
        <v>50</v>
      </c>
      <c r="I7" s="13" t="s">
        <v>231</v>
      </c>
      <c r="J7" s="13" t="n">
        <v>0</v>
      </c>
      <c r="K7" s="48" t="n">
        <f aca="false">ROUND(J7*$C$4/2.5,0)*2.5</f>
        <v>0</v>
      </c>
      <c r="L7" s="13" t="s">
        <v>232</v>
      </c>
      <c r="M7" s="14" t="s">
        <v>233</v>
      </c>
    </row>
    <row r="8" customFormat="false" ht="15" hidden="false" customHeight="false" outlineLevel="0" collapsed="false">
      <c r="B8" s="13" t="n">
        <v>2</v>
      </c>
      <c r="C8" s="14" t="s">
        <v>62</v>
      </c>
      <c r="D8" s="13" t="n">
        <v>55</v>
      </c>
      <c r="E8" s="48" t="n">
        <f aca="false">ROUND(D8*$C$4/5,0)*5</f>
        <v>55</v>
      </c>
      <c r="F8" s="13" t="s">
        <v>234</v>
      </c>
      <c r="G8" s="13" t="n">
        <v>55</v>
      </c>
      <c r="H8" s="48" t="n">
        <f aca="false">ROUND(G8*$C$4/5,0)*5</f>
        <v>55</v>
      </c>
      <c r="I8" s="13" t="s">
        <v>235</v>
      </c>
      <c r="J8" s="13" t="n">
        <v>0</v>
      </c>
      <c r="K8" s="48" t="n">
        <f aca="false">ROUND(J8*$C$4/2.5,0)*2.5</f>
        <v>0</v>
      </c>
      <c r="L8" s="13" t="s">
        <v>236</v>
      </c>
      <c r="M8" s="14"/>
    </row>
    <row r="9" customFormat="false" ht="15" hidden="false" customHeight="false" outlineLevel="0" collapsed="false">
      <c r="B9" s="13" t="n">
        <v>3</v>
      </c>
      <c r="C9" s="14" t="s">
        <v>62</v>
      </c>
      <c r="D9" s="13" t="n">
        <v>60</v>
      </c>
      <c r="E9" s="48" t="n">
        <f aca="false">ROUND(D9*$C$4/5,0)*5</f>
        <v>60</v>
      </c>
      <c r="F9" s="13" t="s">
        <v>237</v>
      </c>
      <c r="G9" s="13" t="n">
        <v>60</v>
      </c>
      <c r="H9" s="48" t="n">
        <f aca="false">ROUND(G9*$C$4/5,0)*5</f>
        <v>60</v>
      </c>
      <c r="I9" s="13" t="s">
        <v>238</v>
      </c>
      <c r="J9" s="13" t="n">
        <v>0</v>
      </c>
      <c r="K9" s="48" t="n">
        <f aca="false">ROUND(J9*$C$4/2.5,0)*2.5</f>
        <v>0</v>
      </c>
      <c r="L9" s="13" t="s">
        <v>239</v>
      </c>
      <c r="M9" s="14"/>
    </row>
    <row r="10" customFormat="false" ht="15" hidden="false" customHeight="false" outlineLevel="0" collapsed="false">
      <c r="B10" s="13" t="n">
        <v>4</v>
      </c>
      <c r="C10" s="14" t="s">
        <v>69</v>
      </c>
      <c r="D10" s="13" t="n">
        <v>50</v>
      </c>
      <c r="E10" s="48" t="n">
        <f aca="false">ROUND(D10*$C$4/5,0)*5</f>
        <v>50</v>
      </c>
      <c r="F10" s="13" t="s">
        <v>240</v>
      </c>
      <c r="G10" s="13" t="n">
        <v>45</v>
      </c>
      <c r="H10" s="48" t="n">
        <f aca="false">ROUND(G10*$C$4/5,0)*5</f>
        <v>45</v>
      </c>
      <c r="I10" s="13" t="s">
        <v>241</v>
      </c>
      <c r="J10" s="13" t="n">
        <v>0</v>
      </c>
      <c r="K10" s="48" t="n">
        <f aca="false">ROUND(J10*$C$4/2.5,0)*2.5</f>
        <v>0</v>
      </c>
      <c r="L10" s="13" t="s">
        <v>242</v>
      </c>
      <c r="M10" s="14" t="s">
        <v>243</v>
      </c>
    </row>
    <row r="11" customFormat="false" ht="15" hidden="false" customHeight="false" outlineLevel="0" collapsed="false">
      <c r="B11" s="13" t="n">
        <v>5</v>
      </c>
      <c r="C11" s="14" t="s">
        <v>73</v>
      </c>
      <c r="D11" s="13" t="n">
        <v>70</v>
      </c>
      <c r="E11" s="48" t="n">
        <f aca="false">ROUND(D11*$C$4/5,0)*5</f>
        <v>70</v>
      </c>
      <c r="F11" s="13" t="s">
        <v>230</v>
      </c>
      <c r="G11" s="13" t="n">
        <v>65</v>
      </c>
      <c r="H11" s="48" t="n">
        <f aca="false">ROUND(G11*$C$4/5,0)*5</f>
        <v>65</v>
      </c>
      <c r="I11" s="13" t="s">
        <v>231</v>
      </c>
      <c r="J11" s="13" t="n">
        <v>5</v>
      </c>
      <c r="K11" s="48" t="n">
        <f aca="false">ROUND(J11*$C$4/2.5,0)*2.5</f>
        <v>5</v>
      </c>
      <c r="L11" s="13" t="s">
        <v>232</v>
      </c>
      <c r="M11" s="14" t="s">
        <v>244</v>
      </c>
    </row>
    <row r="12" customFormat="false" ht="15" hidden="false" customHeight="false" outlineLevel="0" collapsed="false">
      <c r="B12" s="13" t="n">
        <v>6</v>
      </c>
      <c r="C12" s="14" t="s">
        <v>73</v>
      </c>
      <c r="D12" s="13" t="n">
        <v>75</v>
      </c>
      <c r="E12" s="48" t="n">
        <f aca="false">ROUND(D12*$C$4/5,0)*5</f>
        <v>75</v>
      </c>
      <c r="F12" s="13" t="s">
        <v>234</v>
      </c>
      <c r="G12" s="13" t="n">
        <v>70</v>
      </c>
      <c r="H12" s="48" t="n">
        <f aca="false">ROUND(G12*$C$4/5,0)*5</f>
        <v>70</v>
      </c>
      <c r="I12" s="13" t="s">
        <v>235</v>
      </c>
      <c r="J12" s="13" t="n">
        <v>10</v>
      </c>
      <c r="K12" s="48" t="n">
        <f aca="false">ROUND(J12*$C$4/2.5,0)*2.5</f>
        <v>10</v>
      </c>
      <c r="L12" s="13" t="s">
        <v>245</v>
      </c>
      <c r="M12" s="14"/>
    </row>
    <row r="13" customFormat="false" ht="15" hidden="false" customHeight="false" outlineLevel="0" collapsed="false">
      <c r="B13" s="13" t="n">
        <v>7</v>
      </c>
      <c r="C13" s="14" t="s">
        <v>73</v>
      </c>
      <c r="D13" s="13" t="n">
        <v>85</v>
      </c>
      <c r="E13" s="48" t="n">
        <f aca="false">ROUND(D13*$C$4/5,0)*5</f>
        <v>85</v>
      </c>
      <c r="F13" s="13" t="s">
        <v>234</v>
      </c>
      <c r="G13" s="13" t="n">
        <v>80</v>
      </c>
      <c r="H13" s="48" t="n">
        <f aca="false">ROUND(G13*$C$4/5,0)*5</f>
        <v>80</v>
      </c>
      <c r="I13" s="13" t="s">
        <v>235</v>
      </c>
      <c r="J13" s="13" t="n">
        <v>15</v>
      </c>
      <c r="K13" s="48" t="n">
        <f aca="false">ROUND(J13*$C$4/2.5,0)*2.5</f>
        <v>15</v>
      </c>
      <c r="L13" s="13" t="s">
        <v>236</v>
      </c>
      <c r="M13" s="14"/>
    </row>
    <row r="14" customFormat="false" ht="23.85" hidden="false" customHeight="false" outlineLevel="0" collapsed="false">
      <c r="B14" s="13" t="n">
        <v>8</v>
      </c>
      <c r="C14" s="14" t="s">
        <v>81</v>
      </c>
      <c r="D14" s="13" t="n">
        <v>70</v>
      </c>
      <c r="E14" s="48" t="n">
        <f aca="false">ROUND(D14*$C$4/5,0)*5</f>
        <v>70</v>
      </c>
      <c r="F14" s="13" t="s">
        <v>240</v>
      </c>
      <c r="G14" s="13" t="n">
        <v>60</v>
      </c>
      <c r="H14" s="48" t="n">
        <f aca="false">ROUND(G14*$C$4/5,0)*5</f>
        <v>60</v>
      </c>
      <c r="I14" s="13" t="s">
        <v>241</v>
      </c>
      <c r="J14" s="13" t="n">
        <v>0</v>
      </c>
      <c r="K14" s="48" t="n">
        <f aca="false">ROUND(J14*$C$4/2.5,0)*2.5</f>
        <v>0</v>
      </c>
      <c r="L14" s="13" t="s">
        <v>246</v>
      </c>
      <c r="M14" s="14" t="s">
        <v>247</v>
      </c>
    </row>
    <row r="15" customFormat="false" ht="15" hidden="false" customHeight="false" outlineLevel="0" collapsed="false">
      <c r="B15" s="13" t="n">
        <v>9</v>
      </c>
      <c r="C15" s="14" t="s">
        <v>83</v>
      </c>
      <c r="D15" s="13" t="n">
        <v>90</v>
      </c>
      <c r="E15" s="48" t="n">
        <f aca="false">ROUND(D15*$C$4/5,0)*5</f>
        <v>90</v>
      </c>
      <c r="F15" s="13" t="s">
        <v>248</v>
      </c>
      <c r="G15" s="13" t="n">
        <v>90</v>
      </c>
      <c r="H15" s="48" t="n">
        <f aca="false">ROUND(G15*$C$4/5,0)*5</f>
        <v>90</v>
      </c>
      <c r="I15" s="13" t="s">
        <v>230</v>
      </c>
      <c r="J15" s="13" t="n">
        <v>15</v>
      </c>
      <c r="K15" s="48" t="n">
        <f aca="false">ROUND(J15*$C$4/2.5,0)*2.5</f>
        <v>15</v>
      </c>
      <c r="L15" s="13" t="s">
        <v>245</v>
      </c>
      <c r="M15" s="14" t="s">
        <v>249</v>
      </c>
    </row>
    <row r="16" customFormat="false" ht="15" hidden="false" customHeight="false" outlineLevel="0" collapsed="false">
      <c r="B16" s="13" t="n">
        <v>10</v>
      </c>
      <c r="C16" s="14" t="s">
        <v>83</v>
      </c>
      <c r="D16" s="13" t="n">
        <v>95</v>
      </c>
      <c r="E16" s="48" t="n">
        <f aca="false">ROUND(D16*$C$4/5,0)*5</f>
        <v>95</v>
      </c>
      <c r="F16" s="13" t="s">
        <v>248</v>
      </c>
      <c r="G16" s="13" t="n">
        <v>95</v>
      </c>
      <c r="H16" s="48" t="n">
        <f aca="false">ROUND(G16*$C$4/5,0)*5</f>
        <v>95</v>
      </c>
      <c r="I16" s="13" t="s">
        <v>230</v>
      </c>
      <c r="J16" s="13" t="n">
        <v>20</v>
      </c>
      <c r="K16" s="48" t="n">
        <f aca="false">ROUND(J16*$C$4/2.5,0)*2.5</f>
        <v>20</v>
      </c>
      <c r="L16" s="13" t="s">
        <v>245</v>
      </c>
      <c r="M16" s="14"/>
    </row>
    <row r="17" customFormat="false" ht="15" hidden="false" customHeight="false" outlineLevel="0" collapsed="false">
      <c r="B17" s="13" t="n">
        <v>11</v>
      </c>
      <c r="C17" s="14" t="s">
        <v>83</v>
      </c>
      <c r="D17" s="13" t="n">
        <v>100</v>
      </c>
      <c r="E17" s="48" t="n">
        <f aca="false">ROUND(D17*$C$4/5,0)*5</f>
        <v>100</v>
      </c>
      <c r="F17" s="13" t="s">
        <v>250</v>
      </c>
      <c r="G17" s="13" t="n">
        <v>100</v>
      </c>
      <c r="H17" s="48" t="n">
        <f aca="false">ROUND(G17*$C$4/5,0)*5</f>
        <v>100</v>
      </c>
      <c r="I17" s="13" t="s">
        <v>240</v>
      </c>
      <c r="J17" s="13" t="n">
        <v>20</v>
      </c>
      <c r="K17" s="48" t="n">
        <f aca="false">ROUND(J17*$C$4/2.5,0)*2.5</f>
        <v>20</v>
      </c>
      <c r="L17" s="13" t="s">
        <v>232</v>
      </c>
      <c r="M17" s="14" t="s">
        <v>251</v>
      </c>
    </row>
    <row r="18" customFormat="false" ht="15" hidden="false" customHeight="false" outlineLevel="0" collapsed="false">
      <c r="B18" s="13" t="n">
        <v>12</v>
      </c>
      <c r="C18" s="14" t="s">
        <v>91</v>
      </c>
      <c r="D18" s="13" t="n">
        <v>80</v>
      </c>
      <c r="E18" s="48" t="n">
        <f aca="false">ROUND(D18*$C$4/5,0)*5</f>
        <v>80</v>
      </c>
      <c r="F18" s="13" t="s">
        <v>252</v>
      </c>
      <c r="G18" s="13" t="n">
        <v>70</v>
      </c>
      <c r="H18" s="48" t="n">
        <f aca="false">ROUND(G18*$C$4/5,0)*5</f>
        <v>70</v>
      </c>
      <c r="I18" s="13" t="s">
        <v>253</v>
      </c>
      <c r="J18" s="13" t="n">
        <v>0</v>
      </c>
      <c r="K18" s="48" t="n">
        <f aca="false">ROUND(J18*$C$4/2.5,0)*2.5</f>
        <v>0</v>
      </c>
      <c r="L18" s="13" t="s">
        <v>254</v>
      </c>
      <c r="M18" s="14" t="s">
        <v>255</v>
      </c>
    </row>
    <row r="20" customFormat="false" ht="27.75" hidden="false" customHeight="true" outlineLevel="0" collapsed="false">
      <c r="B20" s="21" t="s">
        <v>256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</sheetData>
  <mergeCells count="1">
    <mergeCell ref="B20:M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2026-10-22T12:48:59Z</dcterms:created>
  <dc:creator>openpyxl</dc:creator>
  <dc:description/>
  <dc:language>en-US</dc:language>
  <cp:lastModifiedBy/>
  <dcterms:modified xsi:type="dcterms:W3CDTF">2026-10-22T12:49:00Z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